
<file path=[Content_Types].xml><?xml version="1.0" encoding="utf-8"?>
<Types xmlns="http://schemas.openxmlformats.org/package/2006/content-types"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G221090\Desktop\"/>
    </mc:Choice>
  </mc:AlternateContent>
  <xr:revisionPtr revIDLastSave="0" documentId="13_ncr:1_{5AEB7A9E-27AA-4BA6-B757-01FD00580CB5}" xr6:coauthVersionLast="47" xr6:coauthVersionMax="47" xr10:uidLastSave="{00000000-0000-0000-0000-000000000000}"/>
  <bookViews>
    <workbookView xWindow="23880" yWindow="-120" windowWidth="24240" windowHeight="13140" activeTab="1" xr2:uid="{243974D6-D94E-48FD-949E-56201E2DD539}"/>
  </bookViews>
  <sheets>
    <sheet name="PLANILHA ORÇAMENTÁRIA" sheetId="1" r:id="rId1"/>
    <sheet name="CRONOGRAMA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29" i="2" l="1"/>
  <c r="Q28" i="2"/>
  <c r="O29" i="2"/>
  <c r="O28" i="2"/>
  <c r="N29" i="2"/>
  <c r="M29" i="2"/>
  <c r="L29" i="2"/>
  <c r="M28" i="2"/>
  <c r="K29" i="2"/>
  <c r="K28" i="2"/>
  <c r="J29" i="2"/>
  <c r="I29" i="2"/>
  <c r="I28" i="2"/>
  <c r="H29" i="2"/>
  <c r="G29" i="2"/>
  <c r="F29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J122" i="1"/>
  <c r="J121" i="1"/>
  <c r="J108" i="1"/>
  <c r="J107" i="1"/>
  <c r="J106" i="1"/>
  <c r="J89" i="1"/>
  <c r="J88" i="1"/>
  <c r="J79" i="1"/>
  <c r="J78" i="1"/>
  <c r="J76" i="1"/>
  <c r="J69" i="1"/>
  <c r="J68" i="1"/>
  <c r="J62" i="1"/>
  <c r="J59" i="1"/>
  <c r="J44" i="1"/>
  <c r="J43" i="1"/>
  <c r="J42" i="1"/>
  <c r="J41" i="1"/>
  <c r="J38" i="1"/>
  <c r="J37" i="1"/>
  <c r="J36" i="1"/>
  <c r="J35" i="1"/>
  <c r="J34" i="1"/>
  <c r="J32" i="1"/>
  <c r="J31" i="1"/>
  <c r="J30" i="1"/>
  <c r="J29" i="1"/>
  <c r="J28" i="1"/>
  <c r="J26" i="1"/>
  <c r="J25" i="1"/>
  <c r="J24" i="1"/>
  <c r="J23" i="1"/>
  <c r="J22" i="1"/>
  <c r="J20" i="1"/>
  <c r="J19" i="1"/>
  <c r="J18" i="1"/>
  <c r="J17" i="1"/>
  <c r="L137" i="1"/>
  <c r="M137" i="1" s="1"/>
  <c r="L138" i="1"/>
  <c r="M138" i="1" s="1"/>
  <c r="L139" i="1"/>
  <c r="M139" i="1" s="1"/>
  <c r="L140" i="1"/>
  <c r="M140" i="1" s="1"/>
  <c r="L141" i="1"/>
  <c r="M141" i="1" s="1"/>
  <c r="L142" i="1"/>
  <c r="M142" i="1" s="1"/>
  <c r="L143" i="1"/>
  <c r="M143" i="1" s="1"/>
  <c r="L144" i="1"/>
  <c r="M144" i="1" s="1"/>
  <c r="L145" i="1"/>
  <c r="M145" i="1" s="1"/>
  <c r="L146" i="1"/>
  <c r="M146" i="1" s="1"/>
  <c r="L147" i="1"/>
  <c r="M147" i="1" s="1"/>
  <c r="L136" i="1"/>
  <c r="M136" i="1" s="1"/>
  <c r="L129" i="1"/>
  <c r="M129" i="1" s="1"/>
  <c r="L130" i="1"/>
  <c r="M130" i="1" s="1"/>
  <c r="L131" i="1"/>
  <c r="M131" i="1" s="1"/>
  <c r="L132" i="1"/>
  <c r="M132" i="1" s="1"/>
  <c r="L133" i="1"/>
  <c r="M133" i="1" s="1"/>
  <c r="L134" i="1"/>
  <c r="M134" i="1" s="1"/>
  <c r="L128" i="1"/>
  <c r="M128" i="1" s="1"/>
  <c r="M127" i="1" s="1"/>
  <c r="L122" i="1"/>
  <c r="M122" i="1" s="1"/>
  <c r="L123" i="1"/>
  <c r="M123" i="1" s="1"/>
  <c r="L124" i="1"/>
  <c r="M124" i="1" s="1"/>
  <c r="L125" i="1"/>
  <c r="M125" i="1" s="1"/>
  <c r="L126" i="1"/>
  <c r="M126" i="1" s="1"/>
  <c r="L121" i="1"/>
  <c r="M121" i="1" s="1"/>
  <c r="L111" i="1"/>
  <c r="M111" i="1" s="1"/>
  <c r="L112" i="1"/>
  <c r="M112" i="1" s="1"/>
  <c r="L113" i="1"/>
  <c r="M113" i="1" s="1"/>
  <c r="L114" i="1"/>
  <c r="M114" i="1" s="1"/>
  <c r="L115" i="1"/>
  <c r="M115" i="1" s="1"/>
  <c r="L116" i="1"/>
  <c r="M116" i="1" s="1"/>
  <c r="L117" i="1"/>
  <c r="M117" i="1" s="1"/>
  <c r="L118" i="1"/>
  <c r="M118" i="1" s="1"/>
  <c r="L119" i="1"/>
  <c r="M119" i="1" s="1"/>
  <c r="L110" i="1"/>
  <c r="M110" i="1" s="1"/>
  <c r="L99" i="1"/>
  <c r="M99" i="1" s="1"/>
  <c r="L100" i="1"/>
  <c r="M100" i="1" s="1"/>
  <c r="L101" i="1"/>
  <c r="M101" i="1" s="1"/>
  <c r="L102" i="1"/>
  <c r="M102" i="1" s="1"/>
  <c r="L103" i="1"/>
  <c r="M103" i="1" s="1"/>
  <c r="L104" i="1"/>
  <c r="M104" i="1" s="1"/>
  <c r="L105" i="1"/>
  <c r="M105" i="1" s="1"/>
  <c r="L106" i="1"/>
  <c r="M106" i="1" s="1"/>
  <c r="L107" i="1"/>
  <c r="L108" i="1"/>
  <c r="M108" i="1" s="1"/>
  <c r="L98" i="1"/>
  <c r="M98" i="1" s="1"/>
  <c r="L88" i="1"/>
  <c r="L89" i="1"/>
  <c r="L90" i="1"/>
  <c r="M90" i="1" s="1"/>
  <c r="L91" i="1"/>
  <c r="M91" i="1" s="1"/>
  <c r="L92" i="1"/>
  <c r="M92" i="1" s="1"/>
  <c r="L93" i="1"/>
  <c r="M93" i="1" s="1"/>
  <c r="L94" i="1"/>
  <c r="M94" i="1" s="1"/>
  <c r="L95" i="1"/>
  <c r="M95" i="1" s="1"/>
  <c r="L96" i="1"/>
  <c r="M96" i="1" s="1"/>
  <c r="L87" i="1"/>
  <c r="M87" i="1" s="1"/>
  <c r="L77" i="1"/>
  <c r="M77" i="1" s="1"/>
  <c r="L78" i="1"/>
  <c r="L79" i="1"/>
  <c r="L80" i="1"/>
  <c r="M80" i="1" s="1"/>
  <c r="L81" i="1"/>
  <c r="M81" i="1" s="1"/>
  <c r="L82" i="1"/>
  <c r="M82" i="1" s="1"/>
  <c r="L83" i="1"/>
  <c r="M83" i="1" s="1"/>
  <c r="L84" i="1"/>
  <c r="M84" i="1" s="1"/>
  <c r="L85" i="1"/>
  <c r="M85" i="1" s="1"/>
  <c r="L76" i="1"/>
  <c r="L74" i="1"/>
  <c r="M74" i="1" s="1"/>
  <c r="L69" i="1"/>
  <c r="L70" i="1"/>
  <c r="M70" i="1" s="1"/>
  <c r="L71" i="1"/>
  <c r="M71" i="1" s="1"/>
  <c r="L72" i="1"/>
  <c r="M72" i="1" s="1"/>
  <c r="L68" i="1"/>
  <c r="L60" i="1"/>
  <c r="M60" i="1" s="1"/>
  <c r="L61" i="1"/>
  <c r="M61" i="1" s="1"/>
  <c r="L62" i="1"/>
  <c r="L63" i="1"/>
  <c r="M63" i="1" s="1"/>
  <c r="L64" i="1"/>
  <c r="M64" i="1" s="1"/>
  <c r="L65" i="1"/>
  <c r="M65" i="1" s="1"/>
  <c r="L66" i="1"/>
  <c r="M66" i="1" s="1"/>
  <c r="L59" i="1"/>
  <c r="M59" i="1" s="1"/>
  <c r="L49" i="1"/>
  <c r="M49" i="1" s="1"/>
  <c r="L50" i="1"/>
  <c r="M50" i="1" s="1"/>
  <c r="L51" i="1"/>
  <c r="M51" i="1" s="1"/>
  <c r="L52" i="1"/>
  <c r="M52" i="1" s="1"/>
  <c r="L53" i="1"/>
  <c r="M53" i="1" s="1"/>
  <c r="L54" i="1"/>
  <c r="M54" i="1" s="1"/>
  <c r="L55" i="1"/>
  <c r="M55" i="1" s="1"/>
  <c r="L56" i="1"/>
  <c r="M56" i="1" s="1"/>
  <c r="L57" i="1"/>
  <c r="M57" i="1" s="1"/>
  <c r="L48" i="1"/>
  <c r="M48" i="1" s="1"/>
  <c r="L42" i="1"/>
  <c r="M42" i="1" s="1"/>
  <c r="L43" i="1"/>
  <c r="L44" i="1"/>
  <c r="M44" i="1" s="1"/>
  <c r="L45" i="1"/>
  <c r="M45" i="1" s="1"/>
  <c r="L46" i="1"/>
  <c r="M46" i="1" s="1"/>
  <c r="L41" i="1"/>
  <c r="L35" i="1"/>
  <c r="L36" i="1"/>
  <c r="L37" i="1"/>
  <c r="L38" i="1"/>
  <c r="L39" i="1"/>
  <c r="M39" i="1" s="1"/>
  <c r="L34" i="1"/>
  <c r="L29" i="1"/>
  <c r="M29" i="1" s="1"/>
  <c r="L30" i="1"/>
  <c r="M30" i="1" s="1"/>
  <c r="L31" i="1"/>
  <c r="M31" i="1" s="1"/>
  <c r="L32" i="1"/>
  <c r="L28" i="1"/>
  <c r="M28" i="1" s="1"/>
  <c r="L26" i="1"/>
  <c r="L19" i="1"/>
  <c r="L20" i="1"/>
  <c r="L21" i="1"/>
  <c r="M21" i="1" s="1"/>
  <c r="L22" i="1"/>
  <c r="L23" i="1"/>
  <c r="L24" i="1"/>
  <c r="M24" i="1" s="1"/>
  <c r="L25" i="1"/>
  <c r="M25" i="1" s="1"/>
  <c r="L18" i="1"/>
  <c r="L17" i="1"/>
  <c r="M17" i="1" s="1"/>
  <c r="D29" i="2" l="1"/>
  <c r="M88" i="1"/>
  <c r="M76" i="1"/>
  <c r="M43" i="1"/>
  <c r="M107" i="1"/>
  <c r="M18" i="1"/>
  <c r="M38" i="1"/>
  <c r="M26" i="1"/>
  <c r="M69" i="1"/>
  <c r="M23" i="1"/>
  <c r="M20" i="1"/>
  <c r="M19" i="1"/>
  <c r="M34" i="1"/>
  <c r="M22" i="1"/>
  <c r="M37" i="1"/>
  <c r="M35" i="1"/>
  <c r="M41" i="1"/>
  <c r="M68" i="1"/>
  <c r="M89" i="1"/>
  <c r="M86" i="1" s="1"/>
  <c r="M62" i="1"/>
  <c r="M58" i="1" s="1"/>
  <c r="M36" i="1"/>
  <c r="M79" i="1"/>
  <c r="M32" i="1"/>
  <c r="M27" i="1" s="1"/>
  <c r="M135" i="1"/>
  <c r="M109" i="1"/>
  <c r="M78" i="1"/>
  <c r="M47" i="1"/>
  <c r="M120" i="1"/>
  <c r="M97" i="1"/>
  <c r="E25" i="2" l="1"/>
  <c r="E13" i="2"/>
  <c r="E29" i="2" s="1"/>
  <c r="E16" i="2"/>
  <c r="E18" i="2"/>
  <c r="E22" i="2"/>
  <c r="E24" i="2"/>
  <c r="E27" i="2"/>
  <c r="E15" i="2"/>
  <c r="E26" i="2"/>
  <c r="E14" i="2"/>
  <c r="E23" i="2"/>
  <c r="E21" i="2"/>
  <c r="E20" i="2"/>
  <c r="E19" i="2"/>
  <c r="E17" i="2"/>
  <c r="M40" i="1"/>
  <c r="M16" i="1"/>
  <c r="M75" i="1"/>
  <c r="M67" i="1"/>
  <c r="M33" i="1"/>
  <c r="M15" i="1" l="1"/>
  <c r="M1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Caixa</author>
  </authors>
  <commentList>
    <comment ref="M9" authorId="0" shapeId="0" xr:uid="{A1464E34-776E-425B-9CDF-5684168190C1}">
      <text>
        <r>
          <rPr>
            <sz val="9"/>
            <color indexed="81"/>
            <rFont val="Segoe UI"/>
            <family val="2"/>
          </rPr>
          <t xml:space="preserve">Preencher as informações na Aba "BDI".
</t>
        </r>
      </text>
    </comment>
    <comment ref="M10" authorId="0" shapeId="0" xr:uid="{A3EC887C-A730-4435-8E7F-102724FCF0E7}">
      <text>
        <r>
          <rPr>
            <sz val="9"/>
            <color indexed="81"/>
            <rFont val="Segoe UI"/>
            <family val="2"/>
          </rPr>
          <t xml:space="preserve">Preencher as informações na Aba "BDI".
</t>
        </r>
      </text>
    </comment>
    <comment ref="H11" authorId="0" shapeId="0" xr:uid="{93F3071F-9BB0-44F1-9574-4780BE18AABC}">
      <text>
        <r>
          <rPr>
            <sz val="9"/>
            <color indexed="81"/>
            <rFont val="Segoe UI"/>
            <family val="2"/>
          </rPr>
          <t xml:space="preserve">Informação da data-base vinculada ao arquivo "SINAPI mm-aaaa.xls" (conforme data-base Sinapi a ser utilizada no orçamento).
Selecionar o regime de Tributação na Aba "Informações do Contrato". 
</t>
        </r>
      </text>
    </comment>
    <comment ref="M11" authorId="0" shapeId="0" xr:uid="{553D729C-B6BA-41E3-8EFA-DE5E7CDD856F}">
      <text>
        <r>
          <rPr>
            <sz val="9"/>
            <color indexed="81"/>
            <rFont val="Segoe UI"/>
            <family val="2"/>
          </rPr>
          <t xml:space="preserve">Preencher as informações na Aba "BDI".
</t>
        </r>
      </text>
    </comment>
    <comment ref="G13" authorId="0" shapeId="0" xr:uid="{83E55501-6135-42D0-9902-0713F165BDB7}">
      <text>
        <r>
          <rPr>
            <sz val="9"/>
            <color indexed="81"/>
            <rFont val="Segoe UI"/>
            <family val="2"/>
          </rPr>
          <t xml:space="preserve">Preencher código SINAPI ou código inserido na Aba Composições.
</t>
        </r>
      </text>
    </comment>
    <comment ref="K13" authorId="0" shapeId="0" xr:uid="{DFA5C3E0-F2DF-4F51-9DB0-56E87A095A1F}">
      <text>
        <r>
          <rPr>
            <sz val="9"/>
            <color indexed="81"/>
            <rFont val="Segoe UI"/>
            <family val="2"/>
          </rPr>
          <t xml:space="preserve">Preencher o custo unitário proposto para cada um dos itens da Planilha Orçamentária, podendo ser efetuado comparativo com a referência oficial na coluna "T".
</t>
        </r>
      </text>
    </comment>
    <comment ref="N13" authorId="0" shapeId="0" xr:uid="{33641E4D-293F-48AE-9605-46EFD170D58D}">
      <text>
        <r>
          <rPr>
            <sz val="9"/>
            <color indexed="81"/>
            <rFont val="Segoe UI"/>
            <family val="2"/>
          </rPr>
          <t>Preencher as informações na Aba "BDI", depois selecionar o índice de BDI a ser utilizado para o item:
P - BDI PADRÃO
D1 - BDI DIFERENCIADO 1
D2 - BDI DIFERENCIADO 2
Z - BDI ZERO</t>
        </r>
      </text>
    </comment>
    <comment ref="O13" authorId="0" shapeId="0" xr:uid="{5F52BDA5-AD6F-4BD7-B869-B0EBB5163DAD}">
      <text>
        <r>
          <rPr>
            <sz val="9"/>
            <color indexed="81"/>
            <rFont val="Segoe UI"/>
            <family val="2"/>
          </rPr>
          <t>Preencher as informações na Aba "BDI", depois selecionar o índice de BDI a ser utilizado para o item:
P - BDI PADRÃO
D1 - BDI DIFERENCIADO 1
D2 - BDI DIFERENCIADO 2
Z - BDI ZERO</t>
        </r>
      </text>
    </comment>
    <comment ref="H15" authorId="0" shapeId="0" xr:uid="{519841CE-0348-43B1-8BA6-D2F2A96FFB43}">
      <text>
        <r>
          <rPr>
            <sz val="9"/>
            <color indexed="81"/>
            <rFont val="Segoe UI"/>
            <family val="2"/>
          </rPr>
          <t>Preencher na coluna "Z" o nome da Meta/Sub-Meta ou Agrupador de Serviços.</t>
        </r>
      </text>
    </comment>
  </commentList>
</comments>
</file>

<file path=xl/sharedStrings.xml><?xml version="1.0" encoding="utf-8"?>
<sst xmlns="http://schemas.openxmlformats.org/spreadsheetml/2006/main" count="1011" uniqueCount="448">
  <si>
    <t>DATA BASE SINAPI:</t>
  </si>
  <si>
    <t>LOCALIDADE SINAPI:</t>
  </si>
  <si>
    <t>ITEM</t>
  </si>
  <si>
    <t>FONTE</t>
  </si>
  <si>
    <t>CÓDIGO</t>
  </si>
  <si>
    <t>M</t>
  </si>
  <si>
    <t>1.1</t>
  </si>
  <si>
    <t>Composição</t>
  </si>
  <si>
    <t>003</t>
  </si>
  <si>
    <t>SINAPI</t>
  </si>
  <si>
    <t>1.1.3</t>
  </si>
  <si>
    <t>97665</t>
  </si>
  <si>
    <t>1.1.4</t>
  </si>
  <si>
    <t>97663</t>
  </si>
  <si>
    <t>1.1.5</t>
  </si>
  <si>
    <t>97660</t>
  </si>
  <si>
    <t>1.1.6</t>
  </si>
  <si>
    <t>97644</t>
  </si>
  <si>
    <t>1.1.7</t>
  </si>
  <si>
    <t>1.1.8</t>
  </si>
  <si>
    <t>97661</t>
  </si>
  <si>
    <t>1.1.9</t>
  </si>
  <si>
    <t>005</t>
  </si>
  <si>
    <t>1.1.10</t>
  </si>
  <si>
    <t>97647</t>
  </si>
  <si>
    <t>CURITIBA</t>
  </si>
  <si>
    <t>DESCRIÇÃO</t>
  </si>
  <si>
    <t>UNID</t>
  </si>
  <si>
    <t>QUANT</t>
  </si>
  <si>
    <t>CUSTO UNITÁRIO (R$)</t>
  </si>
  <si>
    <t>TOTAL</t>
  </si>
  <si>
    <t>REFORMA E AMPLIAÇÃO DA UNIDADE BÁSICA DE SAÚDE OSMAN SIMÕES</t>
  </si>
  <si>
    <t/>
  </si>
  <si>
    <t>SERVIÇOS PRELIMINARES</t>
  </si>
  <si>
    <t xml:space="preserve">M2    </t>
  </si>
  <si>
    <t>M2</t>
  </si>
  <si>
    <t>REMOÇÃO DE LUMINÁRIAS, DE FORMA MANUAL, SEM REAPROVEITAMENTO. AF_12/2017</t>
  </si>
  <si>
    <t>UN</t>
  </si>
  <si>
    <t>REMOÇÃO DE LOUÇAS, DE FORMA MANUAL, SEM REAPROVEITAMENTO. AF_12/2017</t>
  </si>
  <si>
    <t>REMOÇÃO DE INTERRUPTORES/TOMADAS ELÉTRICAS, DE FORMA MANUAL, SEM REAPROVEITAMENTO. AF_12/2017</t>
  </si>
  <si>
    <t>REMOÇÃO DE PORTAS, DE FORMA MANUAL, SEM REAPROVEITAMENTO. AF_12/2017</t>
  </si>
  <si>
    <t>REMOÇÃO DE CABOS ELÉTRICOS, DE FORMA MANUAL, SEM REAPROVEITAMENTO. AF_12/2017</t>
  </si>
  <si>
    <t>REMOÇÃO DE PISO CERÂMICO/RODAPÉ/AZULEJOS</t>
  </si>
  <si>
    <t>M²</t>
  </si>
  <si>
    <t>REMOÇÃO DE TELHAS, DE FIBROCIMENTO, METÁLICA E CERÂMICA, DE FORMA MANUAL, SEM REAPROVEITAMENTO. AF_12/2017</t>
  </si>
  <si>
    <t>BDI PADRÃO:</t>
  </si>
  <si>
    <t>BDI DIFERENCIADO 1:</t>
  </si>
  <si>
    <t>BDI DIFERENCIADO 2:</t>
  </si>
  <si>
    <t>BDI ZERO:</t>
  </si>
  <si>
    <t>UNITÁRIO COM BDI (R$)</t>
  </si>
  <si>
    <t>P</t>
  </si>
  <si>
    <t>D1</t>
  </si>
  <si>
    <t>D2</t>
  </si>
  <si>
    <t>Z</t>
  </si>
  <si>
    <t>VALOR TOTAL COM BDI (R$)</t>
  </si>
  <si>
    <t xml:space="preserve">BDI </t>
  </si>
  <si>
    <t>RECURSOS</t>
  </si>
  <si>
    <t>↓</t>
  </si>
  <si>
    <t>CP</t>
  </si>
  <si>
    <t>97622</t>
  </si>
  <si>
    <t>004</t>
  </si>
  <si>
    <t>DEMOLIÇÃO DE ALVENARIA DE BLOCO FURADO, DE FORMA MANUAL, SEM REAPROVEITAMENTO. AF_12/2017</t>
  </si>
  <si>
    <t>M3</t>
  </si>
  <si>
    <t>REMOÇÃO DE PINTURA LÁTEX (RASPAGEM E/OU LIXAMENTO E/OU ESCOVAÇÃO</t>
  </si>
  <si>
    <t>1.2</t>
  </si>
  <si>
    <t>1.3</t>
  </si>
  <si>
    <t>1.3.2</t>
  </si>
  <si>
    <t>96543</t>
  </si>
  <si>
    <t>1.3.3</t>
  </si>
  <si>
    <t>96545</t>
  </si>
  <si>
    <t>1.3.4</t>
  </si>
  <si>
    <t>96546</t>
  </si>
  <si>
    <t>1.3.5</t>
  </si>
  <si>
    <t>96536</t>
  </si>
  <si>
    <t>1.3.6</t>
  </si>
  <si>
    <t>SINAPI-I</t>
  </si>
  <si>
    <t>38464</t>
  </si>
  <si>
    <t>INFRA ESTRUTURA</t>
  </si>
  <si>
    <t>ARMAÇÃO DE BLOCO, VIGA BALDRAME E SAPATA UTILIZANDO AÇO CA-60 DE 5 MM - MONTAGEM. AF_06/2017</t>
  </si>
  <si>
    <t>KG</t>
  </si>
  <si>
    <t>ARMAÇÃO DE BLOCO, VIGA BALDRAME OU SAPATA UTILIZANDO AÇO CA-50 DE 8 MM - MONTAGEM. AF_06/2017</t>
  </si>
  <si>
    <t>ARMAÇÃO DE BLOCO, VIGA BALDRAME OU SAPATA UTILIZANDO AÇO CA-50 DE 10 MM - MONTAGEM. AF_06/2017</t>
  </si>
  <si>
    <t>FABRICAÇÃO, MONTAGEM E DESMONTAGEM DE FÔRMA PARA VIGA BALDRAME, EM MADEIRA SERRADA, E=25 MM, 4 UTILIZAÇÕES. AF_06/2017</t>
  </si>
  <si>
    <t>CONCRETO USINADO BOMBEAVEL, CLASSE DE RESISTENCIA C20, COM BRITA 0, SLUMP = 220 +/- 20 MM, INCLUI SERVICO DE BOMBEAMENTO (NBR 8953)</t>
  </si>
  <si>
    <t xml:space="preserve">M3    </t>
  </si>
  <si>
    <t>1.4</t>
  </si>
  <si>
    <t>1.4.1</t>
  </si>
  <si>
    <t>92431</t>
  </si>
  <si>
    <t>1.4.2</t>
  </si>
  <si>
    <t>92463</t>
  </si>
  <si>
    <t>1.4.3</t>
  </si>
  <si>
    <t>SUPER ESTRUTURA</t>
  </si>
  <si>
    <t>MONTAGEM E DESMONTAGEM DE FÔRMA DE PILARES RETANGULARES E ESTRUTURAS SIMILARES, PÉ-DIREITO SIMPLES, EM CHAPA DE MADEIRA COMPENSADA PLASTIFICADA, 10 UTILIZAÇÕES. AF_09/2020</t>
  </si>
  <si>
    <t>MONTAGEM E DESMONTAGEM DE FÔRMA DE VIGA, ESCORAMENTO COM GARFO DE MADEIRA, PÉ-DIREITO SIMPLES, EM CHAPA DE MADEIRA RESINADA, 8 UTILIZAÇÕES. AF_09/2020</t>
  </si>
  <si>
    <t>1.4.5</t>
  </si>
  <si>
    <t>1.4.6</t>
  </si>
  <si>
    <t>98557</t>
  </si>
  <si>
    <t>IMPERMEABILIZAÇÃO DE SUPERFÍCIE COM EMULSÃO ASFÁLTICA, 2 DEMÃOS AF_06/2018</t>
  </si>
  <si>
    <t>1.5</t>
  </si>
  <si>
    <t>1.5.1</t>
  </si>
  <si>
    <t>1.5.2</t>
  </si>
  <si>
    <t>93187</t>
  </si>
  <si>
    <t>1.5.3</t>
  </si>
  <si>
    <t>93188</t>
  </si>
  <si>
    <t>1.5.4</t>
  </si>
  <si>
    <t>93197</t>
  </si>
  <si>
    <t>1.5.5</t>
  </si>
  <si>
    <t>96359</t>
  </si>
  <si>
    <t>1.5.6</t>
  </si>
  <si>
    <t>001</t>
  </si>
  <si>
    <t>PAREDES E PAINÉIS</t>
  </si>
  <si>
    <t>VERGA MOLDADA IN LOCO EM CONCRETO PARA JANELAS COM MAIS DE 1,5 M DE VÃO. AF_03/2016</t>
  </si>
  <si>
    <t>VERGA MOLDADA IN LOCO EM CONCRETO PARA PORTAS COM ATÉ 1,5 M DE VÃO. AF_03/2016</t>
  </si>
  <si>
    <t>CONTRAVERGA MOLDADA IN LOCO EM CONCRETO PARA VÃOS DE MAIS DE 1,5 M DE COMPRIMENTO. AF_03/2016</t>
  </si>
  <si>
    <t>PAREDE COM PLACAS DE GESSO ACARTONADO (DRYWALL), PARA USO INTERNO, COM DUAS FACES SIMPLES E ESTRUTURA METÁLICA COM GUIAS SIMPLES, COM VÃOS AF_06/2017_P</t>
  </si>
  <si>
    <t>PAREDE COM PLACAS CIMENTÍCIAS LISA E = 10 MM, COM DUAS FACES SIMPLES E ESTRUTURA METÁLICA COM GUIAS SIMPLES, COM VÃOS</t>
  </si>
  <si>
    <t>1.6</t>
  </si>
  <si>
    <t>1.6.1</t>
  </si>
  <si>
    <t>100775</t>
  </si>
  <si>
    <t>1.6.2</t>
  </si>
  <si>
    <t>92580</t>
  </si>
  <si>
    <t>1.6.3</t>
  </si>
  <si>
    <t>94213</t>
  </si>
  <si>
    <t>1.6.4</t>
  </si>
  <si>
    <t>94216</t>
  </si>
  <si>
    <t>1.6.5</t>
  </si>
  <si>
    <t>94228</t>
  </si>
  <si>
    <t>1.6.6</t>
  </si>
  <si>
    <t>1118</t>
  </si>
  <si>
    <t>1.6.7</t>
  </si>
  <si>
    <t>94229</t>
  </si>
  <si>
    <t>1.6.8</t>
  </si>
  <si>
    <t>94231</t>
  </si>
  <si>
    <t>100327</t>
  </si>
  <si>
    <t>Cotação</t>
  </si>
  <si>
    <t>COBERTURA</t>
  </si>
  <si>
    <t>ESTRUTURA TRELIÇADA DE COBERTURA, TIPO FINK, COM LIGAÇÕES SOLDADAS, INCLUSOS PERFIS METÁLICOS, CHAPAS METÁLICAS, MÃO DE OBRA E TRANSPORTE COM GUINDASTE - FORNECIMENTO E INSTALAÇÃO. AF_01/2020_P</t>
  </si>
  <si>
    <t>TRAMA DE AÇO COMPOSTA POR TERÇAS PARA TELHADOS DE ATÉ 2 ÁGUAS PARA TELHA ONDULADA DE FIBROCIMENTO, METÁLICA, PLÁSTICA OU TERMOACÚSTICA, INCLUSO TRANSPORTE VERTICAL. AF_07/2019</t>
  </si>
  <si>
    <t>CUMEEIRA PARA TELHA METÁLICA TRAPEZOIDAL E=0,5MM, PRÉ-PINTADA, INCLUSO IÇAMENTO</t>
  </si>
  <si>
    <t>CALHA PARA AGUA FURTADA DE CHAPA DE ACO GALVANIZADA NUM 26, CORTE 50 CM</t>
  </si>
  <si>
    <t xml:space="preserve">M     </t>
  </si>
  <si>
    <t>CALHA EM CHAPA DE AÇO GALVANIZADO NÚMERO 24, DESENVOLVIMENTO DE 100 CM, INCLUSO TRANSPORTE VERTICAL. AF_07/2019</t>
  </si>
  <si>
    <t>RUFO EM CHAPA DE AÇO GALVANIZADO NÚMERO 24, CORTE DE 25 CM, INCLUSO TRANSPORTE VERTICAL. AF_07/2019</t>
  </si>
  <si>
    <t>RUFO EXTERNO/INTERNO EM CHAPA DE AÇO GALVANIZADO NÚMERO 26, CORTE DE 33 CM, INCLUSO IÇAMENTO. AF_07/2019</t>
  </si>
  <si>
    <t>PLATIBANDA DA FACHADA COM ESTRUTURA EM TUBOS DE AÇO GALVANIZADO 30x30 e 30x50, EM ACM POLIESTER (COR CINZA CHUMBO) - DE 55,75x1,20m, COM LETRAS CAIXA ALTA EM AÇO GALVANIZADAS COM APLICAÇÃO DE FUNDO PRIME MAIS VERNIZ SOBREPOSTO H=30CM e E=5CM</t>
  </si>
  <si>
    <t>UD</t>
  </si>
  <si>
    <t>1.7</t>
  </si>
  <si>
    <t>1.7.1</t>
  </si>
  <si>
    <t>1.7.2</t>
  </si>
  <si>
    <t>87263</t>
  </si>
  <si>
    <t>1.7.3</t>
  </si>
  <si>
    <t>1.7.4</t>
  </si>
  <si>
    <t>94992</t>
  </si>
  <si>
    <t>1.7.5</t>
  </si>
  <si>
    <t>94438</t>
  </si>
  <si>
    <t>92397</t>
  </si>
  <si>
    <t>88476</t>
  </si>
  <si>
    <t>96399</t>
  </si>
  <si>
    <t>PISOS</t>
  </si>
  <si>
    <t>REVESTIMENTO CERÂMICO PARA PISO COM PLACAS TIPO PORCELANATO DE DIMENSÕES 60X60 CM APLICADA EM AMBIENTES DE ÁREA MAIOR QUE 10 M². AF_06/2014</t>
  </si>
  <si>
    <t>RODAPÉ HOSPITALAR DE SOBREPOR EM PVC FLEXÍVEL, 7,0 CM, 2MM DE EXPESSURA</t>
  </si>
  <si>
    <t>(COMPOSIÇÃO REPRESENTATIVA) DO SERVIÇO DE CONTRAPISO EM ARGAMASSA TRAÇO 1:4 (CIM E AREIA), EM BETONEIRA 400 L, ESPESSURA 3 CM ÁREAS SECAS E 3 CM ÁREAS MOLHADAS, PARA EDIFICAÇÃO HABITACIONAL UNIFAMILIAR (CASA) E EDIFICAÇÃO PÚBLICA PADRÃO. AF_11/2014</t>
  </si>
  <si>
    <t>EXECUÇÃO DE PÁTIO/ESTACIONAMENTO EM PISO INTERTRAVADO, COM BLOCO RETANGULAR COR NATURAL DE 20 X 10 CM, ESPESSURA 6 CM. AF_12/2015</t>
  </si>
  <si>
    <t>CONTRAPISO COM ARGAMASSA AUTONIVELANTE, ADERIDO, ESPESSURA 2CM. AF_07/2021</t>
  </si>
  <si>
    <t>EXECUÇÃO E COMPACTAÇÃO DE BASE OU SUB BASE PARA PAVIMENTAÇÃO DE PISO INTERTRAVADO, ESPESSURA 5CM. AF_11/2019</t>
  </si>
  <si>
    <t>1.8</t>
  </si>
  <si>
    <t>1.8.1</t>
  </si>
  <si>
    <t>87894</t>
  </si>
  <si>
    <t>89173</t>
  </si>
  <si>
    <t>REVESTIMENTOS</t>
  </si>
  <si>
    <t>CHAPISCO APLICADO EM ALVENARIA (SEM PRESENÇA DE VÃOS) E ESTRUTURAS DE CONCRETO DE FACHADA, COM COLHER DE PEDREIRO.  ARGAMASSA TRAÇO 1:3 COM PREPARO EM BETONEIRA 400L. AF_06/2014</t>
  </si>
  <si>
    <t>(COMPOSIÇÃO REPRESENTATIVA) DO SERVIÇO DE EMBOÇO/MASSA ÚNICA, APLICADO MANUALMENTE, TRAÇO 1:2:8, EM BETONEIRA DE 400L, PAREDES INTERNAS, COM EXECUÇÃO DE TALISCAS, EDIFICAÇÃO HABITACIONAL UNIFAMILIAR (CASAS) E EDIFICAÇÃO PÚBLICA PADRÃO. AF_12/2014</t>
  </si>
  <si>
    <t>87273</t>
  </si>
  <si>
    <t>002</t>
  </si>
  <si>
    <t>REVESTIMENTO CERÂMICO PARA PAREDES INTERNAS COM PLACAS TIPO ESMALTADA EXTRA DE DIMENSÕES 33X45 CM APLICADAS EM AMBIENTES DE ÁREA MAIOR QUE 5 M² NA ALTURA INTEIRA DAS PAREDES. AF_06/2014</t>
  </si>
  <si>
    <t>BATE MACA HOSPITALAR DE SOBREPOR EM PVC FLEXÍVEL, 20 CM, 3MM DE EXPESSURA</t>
  </si>
  <si>
    <t>REVESTIMENTO EM PASTILHA DE PORCELANA MESCLANA NAS CORES AZUL, EM PLACAS DE 30X30, ALINHADAS A PRUMO, APLICADO EM PANOS SEM VÃOS</t>
  </si>
  <si>
    <t>1.9</t>
  </si>
  <si>
    <t>1.9.1</t>
  </si>
  <si>
    <t>96114</t>
  </si>
  <si>
    <t xml:space="preserve">FORRO </t>
  </si>
  <si>
    <t>FORRO EM DRYWALL, PARA AMBIENTES COMERCIAIS, INCLUSIVE ESTRUTURA DE FIXAÇÃO. AF_05/2017_P</t>
  </si>
  <si>
    <t>1.10</t>
  </si>
  <si>
    <t>1.10.1</t>
  </si>
  <si>
    <t>93137</t>
  </si>
  <si>
    <t>1.10.2</t>
  </si>
  <si>
    <t>101632</t>
  </si>
  <si>
    <t>1.10.3</t>
  </si>
  <si>
    <t>93143</t>
  </si>
  <si>
    <t>1.10.4</t>
  </si>
  <si>
    <t>93144</t>
  </si>
  <si>
    <t>1.10.5</t>
  </si>
  <si>
    <t>97589</t>
  </si>
  <si>
    <t>1.10.6</t>
  </si>
  <si>
    <t>1.10.7</t>
  </si>
  <si>
    <t>39390</t>
  </si>
  <si>
    <t>1.10.8</t>
  </si>
  <si>
    <t>006</t>
  </si>
  <si>
    <t>1.10.9</t>
  </si>
  <si>
    <t>92023</t>
  </si>
  <si>
    <t>1.10.10</t>
  </si>
  <si>
    <t>92001</t>
  </si>
  <si>
    <t>INSTALAÇÕES ELÉTRICAS / LÓGICA</t>
  </si>
  <si>
    <t>PONTO DE ILUMINAÇÃO RESIDENCIAL INCLUINDO INTERRUPTOR SIMPLES (2 MÓDULOS), CAIXA ELÉTRICA, ELETRODUTO, CABO, RASGO, QUEBRA E CHUMBAMENTO (EXCLUINDO LUMINÁRIA E LÂMPADA). AF_01/2016</t>
  </si>
  <si>
    <t>RELÉ FOTOELÉTRICO PARA COMANDO DE ILUMINAÇÃO EXTERNA 1000 W - FORNECIMENTO E INSTALAÇÃO. AF_08/2020</t>
  </si>
  <si>
    <t>PONTO DE TOMADA RESIDENCIAL INCLUINDO TOMADA 20A/250V, CAIXA ELÉTRICA, ELETRODUTO, CABO, RASGO, QUEBRA E CHUMBAMENTO. AF_01/2016</t>
  </si>
  <si>
    <t>PONTO DE UTILIZAÇÃO DE EQUIPAMENTOS ELÉTRICOS, RESIDENCIAL, INCLUINDO SUPORTE E PLACA, CAIXA ELÉTRICA, ELETRODUTO, CABO, RASGO, QUEBRA E CHUMBAMENTO. AF_01/2016</t>
  </si>
  <si>
    <t>LUMINÁRIA TIPO PLAFON, DE SOBREPOR, COM 1 LÂMPADA LED 30 W - LUZ BRANCA FRIA - FORNECIMENTO E INSTALAÇÃO. AF_11/2017</t>
  </si>
  <si>
    <t>LUMINÁRIA TIPO PLAFON, DE EMBUTIR, COM 1 LÂMPADA LED 30 W - LUZ BRANCA FRIA - FORNECIMENTO E INSTALAÇÃO. AF_11/2017</t>
  </si>
  <si>
    <t>LUMINARIA LED REFLETOR RETANGULAR BIVOLT, LUZ BRANCA, 30 W</t>
  </si>
  <si>
    <t xml:space="preserve">UN    </t>
  </si>
  <si>
    <t>PONTO DE LÓGICA, INCLUINDO TOMADA RJ45, CAIXA, CABO DE REDE CAT6, ELETRODUTO, RASGO, QUEBRA E CHUMBAMENTO</t>
  </si>
  <si>
    <t xml:space="preserve">UN </t>
  </si>
  <si>
    <t>INTERRUPTOR SIMPLES (1 MÓDULO) COM 1 TOMADA DE EMBUTIR 2P+T 10 A,  INCLUINDO SUPORTE E PLACA - FORNECIMENTO E INSTALAÇÃO. AF_12/2015</t>
  </si>
  <si>
    <t>TOMADA DE EMBUTIR (1 MÓDULO), 2P+T 20 A, INCUINDO SUPORTE E PLACA - FORNECIMENTO E INSTALAÇÃO. AF_12/2015</t>
  </si>
  <si>
    <t>1.11</t>
  </si>
  <si>
    <t>1.11.1</t>
  </si>
  <si>
    <t>91788</t>
  </si>
  <si>
    <t>1.11.2</t>
  </si>
  <si>
    <t>89957</t>
  </si>
  <si>
    <t>1.11.3</t>
  </si>
  <si>
    <t>89987</t>
  </si>
  <si>
    <t>1.11.4</t>
  </si>
  <si>
    <t>86942</t>
  </si>
  <si>
    <t>1.11.5</t>
  </si>
  <si>
    <t>86932</t>
  </si>
  <si>
    <t>1.11.6</t>
  </si>
  <si>
    <t>95472</t>
  </si>
  <si>
    <t>1.11.7</t>
  </si>
  <si>
    <t>100849</t>
  </si>
  <si>
    <t>1.11.8</t>
  </si>
  <si>
    <t>100860</t>
  </si>
  <si>
    <t>1.11.9</t>
  </si>
  <si>
    <t>93441</t>
  </si>
  <si>
    <t>1.11.10</t>
  </si>
  <si>
    <t>86889</t>
  </si>
  <si>
    <t>1.12</t>
  </si>
  <si>
    <t>1.12.1</t>
  </si>
  <si>
    <t>91793</t>
  </si>
  <si>
    <t>1.12.2</t>
  </si>
  <si>
    <t>91795</t>
  </si>
  <si>
    <t>1.12.3</t>
  </si>
  <si>
    <t>91796</t>
  </si>
  <si>
    <t>1.12.4</t>
  </si>
  <si>
    <t>90696</t>
  </si>
  <si>
    <t>1.12.5</t>
  </si>
  <si>
    <t>89708</t>
  </si>
  <si>
    <t>1.12.6</t>
  </si>
  <si>
    <t>97892</t>
  </si>
  <si>
    <t>1.12.7</t>
  </si>
  <si>
    <t>007</t>
  </si>
  <si>
    <t>1.12.8</t>
  </si>
  <si>
    <t>98101</t>
  </si>
  <si>
    <t>1.12.9</t>
  </si>
  <si>
    <t>90445</t>
  </si>
  <si>
    <t>1.12.10</t>
  </si>
  <si>
    <t>90446</t>
  </si>
  <si>
    <t>93358</t>
  </si>
  <si>
    <t>INSTALAÇÕES ÁGUA FRIA / LOUÇAS</t>
  </si>
  <si>
    <t>(COMPOSIÇÃO REPRESENTATIVA) DO SERVIÇO DE INSTALAÇÃO DE TUBOS DE PVC, SOLDÁVEL, ÁGUA FRIA, DN 50 MM (INSTALADO EM PRUMADA), INCLUSIVE CONEXÕES, CORTES E FIXAÇÕES, PARA PRÉDIOS. AF_10/2015</t>
  </si>
  <si>
    <t>PONTO DE CONSUMO TERMINAL DE ÁGUA FRIA (SUBRAMAL) COM TUBULAÇÃO DE PVC, DN 25 MM, INSTALADO EM RAMAL DE ÁGUA, INCLUSOS RASGO E CHUMBAMENTO EM ALVENARIA. AF_12/2014</t>
  </si>
  <si>
    <t>REGISTRO DE GAVETA BRUTO, LATÃO, ROSCÁVEL, 3/4", COM ACABAMENTO E CANOPLA CROMADOS - FORNECIMENTO E INSTALAÇÃO. AF_08/2021</t>
  </si>
  <si>
    <t>LAVATÓRIO LOUÇA BRANCA SUSPENSO, 29,5 X 39CM OU EQUIVALENTE, PADRÃO POPULAR, INCLUSO SIFÃO TIPO GARRAFA EM PVC, VÁLVULA E ENGATE FLEXÍVEL 30CM EM PLÁSTICO E TORNEIRA CROMADA DE MESA, PADRÃO POPULAR - FORNECIMENTO E INSTALAÇÃO. AF_01/2020</t>
  </si>
  <si>
    <t>VASO SANITÁRIO SIFONADO COM CAIXA ACOPLADA LOUÇA BRANCA - PADRÃO MÉDIO, INCLUSO ENGATE FLEXÍVEL EM METAL CROMADO, 1/2  X 40CM - FORNECIMENTO E INSTALAÇÃO. AF_01/2020</t>
  </si>
  <si>
    <t>VASO SANITARIO SIFONADO CONVENCIONAL PARA PCD SEM FURO FRONTAL COM LOUÇA BRANCA SEM ASSENTO, INCLUSO CONJUNTO DE LIGAÇÃO PARA BACIA SANITÁRIA AJUSTÁVEL - FORNECIMENTO E INSTALAÇÃO. AF_01/2020</t>
  </si>
  <si>
    <t>ASSENTO SANITÁRIO CONVENCIONAL - FORNECIMENTO E INSTALACAO. AF_01/2020</t>
  </si>
  <si>
    <t>CHUVEIRO ELÉTRICO COMUM CORPO PLÁSTICO, TIPO DUCHA  FORNECIMENTO E INSTALAÇÃO. AF_01/2020</t>
  </si>
  <si>
    <t>BANCADA GRANITO CINZA  150 X 60 CM, COM CUBA DE EMBUTIR DE AÇO, VÁLVULA AMERICANA EM METAL, SIFÃO FLEXÍVEL EM PVC, ENGATE FLEXÍVEL 30 CM, TORNEIRA CROMADA LONGA, DE PAREDE, 1/2 OU 3/4, P/ COZINHA, PADRÃO POPULAR - FORNEC. E INSTALAÇÃO. AF_01/2020</t>
  </si>
  <si>
    <t>BANCADA DE GRANITO CINZA POLIDO, DE 1,50 X 0,60 M, PARA PIA DE COZINHA - FORNECIMENTO E INSTALAÇÃO. AF_01/2020</t>
  </si>
  <si>
    <t>INSTALAÇÕES SANITÁRIAS / PLUVIAIS</t>
  </si>
  <si>
    <t>(COMPOSIÇÃO REPRESENTATIVA) DO SERVIÇO DE INSTALAÇÃO DE TUBO DE PVC, SÉRIE NORMAL, ESGOTO PREDIAL, DN 50 MM (INSTALADO EM RAMAL DE DESCARGA OU RAMAL DE ESGOTO SANITÁRIO), INCLUSIVE CONEXÕES, CORTES E FIXAÇÕES PARA, PRÉDIOS. AF_10/2015</t>
  </si>
  <si>
    <t>(COMPOSIÇÃO REPRESENTATIVA) DO SERVIÇO DE INST. TUBO PVC, SÉRIE N, ESGOTO PREDIAL, 100 MM (INST. RAMAL DESCARGA, RAMAL DE ESG. SANIT., PRUMADA ESG. SANIT., VENTILAÇÃO OU SUB-COLETOR AÉREO), INCL. CONEXÕES E CORTES, FIXAÇÕES, P/ PRÉDIOS. AF_10/2015</t>
  </si>
  <si>
    <t>(COMPOSIÇÃO REPRESENTATIVA) DO SERVIÇO DE INSTALAÇÃO DE TUBO DE PVC, SÉRIE NORMAL, ESGOTO PREDIAL, DN 150 MM (INSTALADO EM SUB-COLETOR AÉREO), INCLUSIVE CONEXÕES, CORTES E FIXAÇÕES, PARA PRÉDIOS. AF_10/2015</t>
  </si>
  <si>
    <t>TUBO DE PVC PARA REDE COLETORA DE ESGOTO DE PAREDE MACIÇA, DN 200 MM, JUNTA ELÁSTICA - FORNECIMENTO E ASSENTAMENTO. AF_01/2021</t>
  </si>
  <si>
    <t>CAIXA SIFONADA, PVC, DN 150 X 185 X 75 MM, JUNTA ELÁSTICA, FORNECIDA E INSTALADA EM RAMAL DE DESCARGA OU EM RAMAL DE ESGOTO SANITÁRIO. AF_12/2014</t>
  </si>
  <si>
    <t>CAIXA DE AREIA RETANGULAR, EM ALVENARIA COM BLOCOS DE CONCRETO, DIMENSÕES INTERNAS: 0,6X0,6X0,6 M. AF_12/2020</t>
  </si>
  <si>
    <t>FOSSA SÉPTICA PRÉ-MOLDADA, TIPO OMS, CAPACIDADE 10 PESSOAS (v=600 litros)</t>
  </si>
  <si>
    <t>SUMIDOURO RETANGULAR, EM ALVENARIA COM BLOCOS DE CONCRETO, DIMENSÕES INTERNAS: 1,6 X 5,8 X 3,0 M, ÁREA DE INFILTRAÇÃO: 50 M² (PARA 20 CONTRIBUINTES). . AF_12/2020</t>
  </si>
  <si>
    <t>RASGO EM CONTRAPISO PARA RAMAIS/ DISTRIBUIÇÃO COM DIÂMETROS MAIORES QUE 40 MM E MENORES OU IGUAIS A 75 MM. AF_05/2015</t>
  </si>
  <si>
    <t>RASGO EM CONTRAPISO PARA RAMAIS/ DISTRIBUIÇÃO COM DIÂMETROS MAIORES QUE 75 MM. AF_05/2015</t>
  </si>
  <si>
    <t>ESCAVAÇÃO MANUAL DE VALA COM PROFUNDIDADE MENOR OU IGUAL A 1,30 M. AF_02/2021</t>
  </si>
  <si>
    <t>1.13</t>
  </si>
  <si>
    <t>1.13.1</t>
  </si>
  <si>
    <t>94570</t>
  </si>
  <si>
    <t>1.13.2</t>
  </si>
  <si>
    <t>94573</t>
  </si>
  <si>
    <t>1.13.3</t>
  </si>
  <si>
    <t>91338</t>
  </si>
  <si>
    <t>1.13.4</t>
  </si>
  <si>
    <t>34747</t>
  </si>
  <si>
    <t>1.13.5</t>
  </si>
  <si>
    <t>98689</t>
  </si>
  <si>
    <t>ESQUADRIAS</t>
  </si>
  <si>
    <t>JANELA DE ALUMÍNIO BRANCO DE CORRER COM 2 FOLHAS PARA VIDROS, COM VIDROS, BATENTE, ACABAMENTO COM ACETATO OU BRILHANTE E FERRAGENS. EXCLUSIVE ALIZAR E CONTRAMARCO. FORNECIMENTO E INSTALAÇÃO. AF_12/2019</t>
  </si>
  <si>
    <t>JANELA DE ALUMÍNIO BRANCO DE CORRER COM 4 FOLHAS PARA VIDROS, COM VIDROS, BATENTE, ACABAMENTO COM ACETATO OU BRILHANTE E FERRAGENS. EXCLUSIVE ALIZAR E CONTRAMARCO. FORNECIMENTO E INSTALAÇÃO. AF_12/2019</t>
  </si>
  <si>
    <t>PORTA DE ALUMÍNIO BRANCO VENEZIANA, COM GUARNIÇÃO, FIXAÇÃO COM PARAFUSOS - FORNECIMENTO E INSTALAÇÃO</t>
  </si>
  <si>
    <t xml:space="preserve">PEITORIL EM GRANITO CINZA POLIDO, L= *18* CM, E=  *2,0* CM, COM PINGADEIRA                                 </t>
  </si>
  <si>
    <t>SOLEIRA EM GRANITO, LARGURA 15 CM, ESPESSURA 2,0 CM. AF_09/2020</t>
  </si>
  <si>
    <t>90793</t>
  </si>
  <si>
    <t>94569</t>
  </si>
  <si>
    <t>91341</t>
  </si>
  <si>
    <t>1.14</t>
  </si>
  <si>
    <t>1.14.1</t>
  </si>
  <si>
    <t>88485</t>
  </si>
  <si>
    <t>1.14.2</t>
  </si>
  <si>
    <t>96131</t>
  </si>
  <si>
    <t>1.14.3</t>
  </si>
  <si>
    <t>95305</t>
  </si>
  <si>
    <t>1.14.4</t>
  </si>
  <si>
    <t>88489</t>
  </si>
  <si>
    <t>1.14.5</t>
  </si>
  <si>
    <t>88496</t>
  </si>
  <si>
    <t>1.14.6</t>
  </si>
  <si>
    <t>88488</t>
  </si>
  <si>
    <t>KIT DE PORTA-PRONTA DE MADEIRA EM ACABAMENTO MELAMÍNICO BRANCO, FOLHA PESADA OU SUPERPESADA, 90X210CM, FIXAÇÃO COM PREENCHIMENTO TOTAL DE ESPUMA EXPANSIVA - FORNECIMENTO E INSTALAÇÃO. AF_12/2019</t>
  </si>
  <si>
    <t>JANELA DE ALUMÍNIO BRANCO, TIPO MAXIM-AR, COM VIDROS, BATENTE E FERRAGENS. EXCLUSIVE ALIZAR, CONTRAMARCO. FORNECIMENTO E INSTALAÇÃO. AF_12/2019</t>
  </si>
  <si>
    <t>JANELA DE ALUMÍNIO BRANCO, TIPO MAXIM-AR, COM VENEZIANA, BATENTE E FERRAGENS. EXCLUSIVE ALIZAR, CONTRAMARCO. FORNECIMENTO E INSTALAÇÃO. AF_12/2019</t>
  </si>
  <si>
    <t>PORTA DE ABRIR EM ALUMINIO BRANCO COM DIVISAO HORIZONTAL  PARA VIDROS,  VIDROS INCLUSOS - FORNECIMENTO E INSTALAÇÃO</t>
  </si>
  <si>
    <t>PINTURA</t>
  </si>
  <si>
    <t>APLICAÇÃO DE FUNDO SELADOR ACRÍLICO EM PAREDES, UMA DEMÃO. AF_06/2014</t>
  </si>
  <si>
    <t>APLICAÇÃO MANUAL DE MASSA ACRÍLICA EM PANOS COM PRESENÇA DE VÃOS, DUAS DEMÃOS. AF_05/2017</t>
  </si>
  <si>
    <t>TEXTURA ACRÍLICA, APLICAÇÃO MANUAL EM PAREDE, UMA DEMÃO. AF_09/2016</t>
  </si>
  <si>
    <t>APLICAÇÃO MANUAL DE PINTURA COM TINTA LÁTEX ACRÍLICA EM PAREDES, DUAS DEMÃOS. AF_06/2014</t>
  </si>
  <si>
    <t>APLICAÇÃO E LIXAMENTO DE MASSA LÁTEX EM TETO, DUAS DEMÃOS. AF_06/2014</t>
  </si>
  <si>
    <t>APLICAÇÃO MANUAL DE PINTURA COM TINTA LÁTEX ACRÍLICA EM TETO, DUAS DEMÃOS. AF_06/2014</t>
  </si>
  <si>
    <t>1.15</t>
  </si>
  <si>
    <t>SERVIÇOS COMPLEMENTARES</t>
  </si>
  <si>
    <t>1.15.3</t>
  </si>
  <si>
    <t>008</t>
  </si>
  <si>
    <t>1.15.4</t>
  </si>
  <si>
    <t>95547</t>
  </si>
  <si>
    <t>1.15.5</t>
  </si>
  <si>
    <t>37401</t>
  </si>
  <si>
    <t>1.15.6</t>
  </si>
  <si>
    <t>95544</t>
  </si>
  <si>
    <t>1.15.7</t>
  </si>
  <si>
    <t>100868</t>
  </si>
  <si>
    <t>1.15.8</t>
  </si>
  <si>
    <t>39620</t>
  </si>
  <si>
    <t>1.15.9</t>
  </si>
  <si>
    <t>39624</t>
  </si>
  <si>
    <t>Exaustor Mega34, da sicflux ou similar - fornecimento e instalação</t>
  </si>
  <si>
    <t>SABONETEIRA PLASTICA TIPO DISPENSER PARA SABONETE LIQUIDO COM RESERVATORIO 800 A 1500 ML, INCLUSO FIXAÇÃO. AF_01/2020</t>
  </si>
  <si>
    <t>TOALHEIRO PLASTICO TIPO DISPENSER PARA PAPEL TOALHA INTERFOLHADO</t>
  </si>
  <si>
    <t>PAPELEIRA DE PAREDE EM METAL CROMADO SEM TAMPA, INCLUSO FIXAÇÃO. AF_01/2020</t>
  </si>
  <si>
    <t>BARRA DE APOIO RETA, EM ACO INOX POLIDO, COMPRIMENTO 80 CM,  FIXADA NA PAREDE - FORNECIMENTO E INSTALAÇÃO. AF_01/2020</t>
  </si>
  <si>
    <t>BARRA ANTIPANICO SIMPLES, COM FECHADURA LADO OPOSTO, COR CINZA</t>
  </si>
  <si>
    <t>BARRA ANTIPANICO DUPLA, PARA PORTA DE VIDRO, COR CINZA</t>
  </si>
  <si>
    <t xml:space="preserve">PAR   </t>
  </si>
  <si>
    <t>39748</t>
  </si>
  <si>
    <t>39747</t>
  </si>
  <si>
    <t>95249</t>
  </si>
  <si>
    <t>95248</t>
  </si>
  <si>
    <t>GASES MEDICINAIS</t>
  </si>
  <si>
    <t>TUBO DE COBRE CLASSE "A", DN = 3/4" (22 MM), PARA INSTALACOES DE MEDIA PRESSAO PARA GASES MEDICINAIS, INCLUSIVE CONEXOES, FORNECIMENTO E INSTALAÇÃO, NAS CORES VERDE, AMARELO E CINZA</t>
  </si>
  <si>
    <t>TUBO DE COBRE CLASSE "A", DN = 1/2" (15 MM), PARA INSTALACOES DE MEDIA PRESSAO PARA GASES MEDICINAIS, INCLUSIVE CONEXOES, FORNECIMENTO E INSTALAÇÃO, NAS CORES VERDE, AMARELO E CINZA</t>
  </si>
  <si>
    <t>VÁLVULA DE ESFERA BRUTA, BRONZE, ROSCÁVEL, 3/4'' - FORNECIMENTO E INSTALAÇÃO. AF_08/2021</t>
  </si>
  <si>
    <t>VÁLVULA DE ESFERA BRUTA, BRONZE, ROSCÁVEL, 1/2" - FORNECIMENTO E INSTALAÇÃO. AF_08/2021</t>
  </si>
  <si>
    <t>39774</t>
  </si>
  <si>
    <t>98397</t>
  </si>
  <si>
    <t>98571</t>
  </si>
  <si>
    <t>100747</t>
  </si>
  <si>
    <t>Caixa seccionadora gases medicinais oxigênio e ar comprimido, em chapa de aço galvanizado, com tampa e janela frontal que facilita a visualização das válvulas com a indicação de gases utilizados, 40x40x15</t>
  </si>
  <si>
    <t>PINTURA ANTICORROSIVA DE DUTO METÁLICO. AF_04/2018</t>
  </si>
  <si>
    <t>PROTEÇÃO MECÂNICA DE SUPERFICIE HORIZONTAL COM CONCRETO 15 MPA, E=4CM. AF_06/2018</t>
  </si>
  <si>
    <t>PINTURA COM TINTA ALQUÍDICA DE ACABAMENTO (ESMALTE SINTÉTICO FOSCO) PULVERIZADA SOBRE PERFIL METÁLICO EXECUTADO EM FÁBRICA (POR DEMÃO). AF_01/2020_P</t>
  </si>
  <si>
    <t xml:space="preserve">RÉGUA P/GÁS MEDICINAL, EM ALUMÍNIO, COM: 02 PONTO P/ OXIGÊNIO, 01 PONTO P/ AR COMPRIMIDO, 01 PONTO P/ VÁCUO, 08 TOMADAS ELÉTRICAS, ILUMINAÇÃO. </t>
  </si>
  <si>
    <t xml:space="preserve">RÉGUA P/GÁS MEDICINAL, EM ALUMÍNIO, COM: 01 PONTO P/ OXIGÊNIO, 01 PONTO P/ AR COMPRIMIDO, 01 PONTO P/ VÁCUO, 06 TOMADAS ELÉTRICAS, ILUMINAÇÃO. </t>
  </si>
  <si>
    <t>PAINEL DE ALARME PARA GASES MODULAR DE 1 A 3 ENTRADAS, COM ALARMES, GASES: OXIGÊNIO, AR COMPRIMIDO MEDICINAL, VÁCUO, DISPLAY TOUCH SCREEN COLORIDO, PRESSÃO: PARA AR COMPRIMIDO MEDICINAL, OXIGÊNIO : -FAIXA DE MEDIÇÃO: 0 A 11 KGF/CM². - INCERTEZA DE MEDIÇÃO: ±4% DA FAIXA DE MEDIÇÃO PARA VÁCUO: - FAIXA DE MEDIÇÃO: 0 A -800 MHG. - INCERTEZA DE MEDIÇÃO: ±4% DA FAIXA DE MEDIÇÃO, ALIMENTAÇÃO: 110 VAC À 220 VAC, 50 OU 60 HZ</t>
  </si>
  <si>
    <t>CRONOGRAMA FÍSICO - FINANCEIRO</t>
  </si>
  <si>
    <t>Grau de Sigilo</t>
  </si>
  <si>
    <t>#PUBLICO</t>
  </si>
  <si>
    <t>Nº da Operação</t>
  </si>
  <si>
    <t>Gestor/Programa/Modalidade/Ação</t>
  </si>
  <si>
    <t>Município/UF</t>
  </si>
  <si>
    <t>Localidade</t>
  </si>
  <si>
    <t xml:space="preserve"> / REFORMA E AMPLIAÇÃO DA UNIDADE BÁSICA DE SAÚDE OSMAN SIMÕES</t>
  </si>
  <si>
    <t>ITAPEJARA D´OESTE - PR</t>
  </si>
  <si>
    <t>RUA ABILON DE SOUZA NAVES</t>
  </si>
  <si>
    <t>Proponente</t>
  </si>
  <si>
    <t>Objeto</t>
  </si>
  <si>
    <t>Empreendimento/Apelido</t>
  </si>
  <si>
    <t>MUNICÍPIO DE ITAPEJARA D´OESTE</t>
  </si>
  <si>
    <t>REFORMA E AMPLIAÇÃO DA UBS OSMAN SIMÕES</t>
  </si>
  <si>
    <t>META/</t>
  </si>
  <si>
    <t>VALOR</t>
  </si>
  <si>
    <t>PESO</t>
  </si>
  <si>
    <t>MÊS</t>
  </si>
  <si>
    <t>AGRUPADOR</t>
  </si>
  <si>
    <t>R$</t>
  </si>
  <si>
    <t>%</t>
  </si>
  <si>
    <t>PARCELA (%)</t>
  </si>
  <si>
    <t>ACUM (%)</t>
  </si>
  <si>
    <t>Total (%):</t>
  </si>
  <si>
    <t>Total (R$):</t>
  </si>
  <si>
    <t>Local/Data</t>
  </si>
  <si>
    <t>VILMAR SCHMOLLER</t>
  </si>
  <si>
    <t>PREFEITO MUNICIPAL</t>
  </si>
  <si>
    <t>97642</t>
  </si>
  <si>
    <t>REMOÇÃO DE TRAMA METÁLICA OU DE MADEIRA PARA FORRO, DE FORMA MANUAL, SEM REAPROVEITAMENTO. AF_12/2017</t>
  </si>
  <si>
    <t>478,09</t>
  </si>
  <si>
    <t>92759</t>
  </si>
  <si>
    <t>ARMAÇÃO DE PILAR OU VIGA DE ESTRUTURA CONVENCIONAL DE CONCRETO ARMADO UTILIZANDO AÇO CA-60 DE 5,0 MM - MONTAGEM. AF_06/2022</t>
  </si>
  <si>
    <t>92762</t>
  </si>
  <si>
    <t>ARMAÇÃO DE PILAR OU VIGA DE ESTRUTURA CONVENCIONAL DE CONCRETO ARMADO UTILIZANDO AÇO CA-50 DE 10,0 MM - MONTAGEM. AF_06/2022</t>
  </si>
  <si>
    <t>103332</t>
  </si>
  <si>
    <t>ALVENARIA DE VEDAÇÃO DE BLOCOS CERÂMICOS FURADOS NA HORIZONTAL DE 9X14X19 CM (ESPESSURA 9 CM) E ARGAMASSA DE ASSENTAMENTO COM PREPARO EM BETONEIRA. AF_12/2021</t>
  </si>
  <si>
    <t>TELHAMENTO COM TELHA DE AÇO/ALUMÍNIO E = 0,5 MM, COM ATÉ 2 ÁGUAS, INCLUSO IÇAMENTO. AF_07/2019</t>
  </si>
  <si>
    <t>TELHAMENTO COM TELHA METÁLICA TERMOACÚSTICA E = 30 MM, COM ATÉ 2 ÁGUAS, INCLUSO IÇAMENTO. AF_07/2019</t>
  </si>
  <si>
    <t>96624</t>
  </si>
  <si>
    <t>LASTRO COM MATERIAL GRANULAR (PEDRA BRITADA N.2), APLICADO EM PISOS OU LAJES SOBRE SOLO, ESPESSURA DE *10 CM*. AF_08/2017</t>
  </si>
  <si>
    <t>147,08</t>
  </si>
  <si>
    <t>EXECUÇÃO DE PASSEIO (CALÇADA) OU PISO DE CONCRETO COM CONCRETO MOLDADO IN LOCO, FEITO EM OBRA, ACABAMENTO CONVENCIONAL, ESPESSURA 6 CM, ARMADO. AF_08/2022</t>
  </si>
  <si>
    <t>PORTA EM ALUMÍNIO BRANCO DE ABRIR TIPO VENEZIANA COM GUARNIÇÃO, COM DIVISÓRIA HORIZONTAL, FIXAÇÃO COM PARAFUSOS - FORNECIMENTO E INSTALAÇÃO. AF_12/2019</t>
  </si>
  <si>
    <t>09/2022 (DESONERADO)</t>
  </si>
  <si>
    <t>1.2.1</t>
  </si>
  <si>
    <t>1.2.2</t>
  </si>
  <si>
    <t>1.2.3</t>
  </si>
  <si>
    <t>1.2.4</t>
  </si>
  <si>
    <t>1.2.5</t>
  </si>
  <si>
    <t>1.1.1</t>
  </si>
  <si>
    <t>1.1.2</t>
  </si>
  <si>
    <t>1.3.1</t>
  </si>
  <si>
    <t>1.4.4</t>
  </si>
  <si>
    <t>1.5.7</t>
  </si>
  <si>
    <t>1.5.8</t>
  </si>
  <si>
    <t>1.5.9</t>
  </si>
  <si>
    <t>1.5.10</t>
  </si>
  <si>
    <t>1.9.2</t>
  </si>
  <si>
    <t>1.9.3</t>
  </si>
  <si>
    <t>1.9.4</t>
  </si>
  <si>
    <t>1.9.5</t>
  </si>
  <si>
    <t>1.9.6</t>
  </si>
  <si>
    <t>1.9.7</t>
  </si>
  <si>
    <t>1.9.8</t>
  </si>
  <si>
    <t>1.9.9</t>
  </si>
  <si>
    <t>1.9.10</t>
  </si>
  <si>
    <t>1.11.11</t>
  </si>
  <si>
    <t>1.13.6</t>
  </si>
  <si>
    <t>1.14.7</t>
  </si>
  <si>
    <t>1.15.1</t>
  </si>
  <si>
    <t>1.15.2</t>
  </si>
  <si>
    <t>1.15.10</t>
  </si>
  <si>
    <t>1.15.11</t>
  </si>
  <si>
    <t>1.15.12</t>
  </si>
  <si>
    <t>LEANDRO HENRIQUE MAAS SANTOS</t>
  </si>
  <si>
    <t>CREA/CAU: PR-170817/D</t>
  </si>
  <si>
    <t>ITAPEJARA D´OESTE - PR, 03 de novembro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</si>
</sst>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-* #,##0_-;\-* #,##0_-;_-* &quot;-&quot;_-;_-@_-"/>
    <numFmt numFmtId="43" formatCode="_-* #,##0.00_-;\-* #,##0.00_-;_-* &quot;-&quot;??_-;_-@_-"/>
    <numFmt numFmtId="164" formatCode="_-* #,##0_-;\-* #,##0_-;_-* &quot;-&quot;??_-;_-@_-"/>
    <numFmt numFmtId="165" formatCode="General;General;"/>
    <numFmt numFmtId="166" formatCode="_(* #,##0.00_);_(* \(#,##0.00\);_(* &quot;-&quot;??_);_(@_)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indexed="8"/>
      <name val="Calibri"/>
      <family val="2"/>
    </font>
    <font>
      <sz val="8"/>
      <color indexed="8"/>
      <name val="Calibri"/>
      <family val="2"/>
    </font>
    <font>
      <sz val="9"/>
      <color indexed="81"/>
      <name val="Segoe UI"/>
      <family val="2"/>
    </font>
    <font>
      <b/>
      <sz val="8"/>
      <color indexed="9"/>
      <name val="Calibri"/>
      <family val="2"/>
    </font>
    <font>
      <sz val="11"/>
      <color indexed="8"/>
      <name val="Calibri"/>
      <family val="2"/>
    </font>
    <font>
      <b/>
      <sz val="8"/>
      <name val="Calibri"/>
      <family val="2"/>
    </font>
    <font>
      <sz val="8"/>
      <name val="Calibri"/>
      <family val="2"/>
    </font>
    <font>
      <sz val="10"/>
      <name val="Arial"/>
      <family val="2"/>
    </font>
    <font>
      <b/>
      <sz val="10"/>
      <name val="Calibri"/>
      <family val="2"/>
    </font>
    <font>
      <b/>
      <i/>
      <sz val="8"/>
      <name val="Calibri"/>
      <family val="2"/>
    </font>
    <font>
      <sz val="9"/>
      <name val="Calibri"/>
      <family val="2"/>
    </font>
    <font>
      <b/>
      <sz val="9"/>
      <name val="Calibri"/>
      <family val="2"/>
    </font>
    <font>
      <sz val="11"/>
      <color indexed="10"/>
      <name val="Calibri"/>
      <family val="2"/>
    </font>
    <font>
      <sz val="8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54">
    <xf numFmtId="0" fontId="0" fillId="0" borderId="0" xfId="0"/>
    <xf numFmtId="0" fontId="3" fillId="0" borderId="11" xfId="0" applyFont="1" applyBorder="1" applyAlignment="1">
      <alignment horizontal="left" vertical="center"/>
    </xf>
    <xf numFmtId="0" fontId="3" fillId="4" borderId="9" xfId="0" applyFont="1" applyFill="1" applyBorder="1" applyAlignment="1" applyProtection="1">
      <alignment horizontal="center" vertical="center" wrapText="1"/>
      <protection locked="0"/>
    </xf>
    <xf numFmtId="49" fontId="3" fillId="2" borderId="12" xfId="0" quotePrefix="1" applyNumberFormat="1" applyFont="1" applyFill="1" applyBorder="1" applyAlignment="1" applyProtection="1">
      <alignment horizontal="center" vertical="center" wrapText="1"/>
      <protection locked="0"/>
    </xf>
    <xf numFmtId="49" fontId="3" fillId="2" borderId="12" xfId="0" applyNumberFormat="1" applyFont="1" applyFill="1" applyBorder="1" applyAlignment="1" applyProtection="1">
      <alignment horizontal="center" vertical="center" wrapText="1"/>
      <protection locked="0"/>
    </xf>
    <xf numFmtId="41" fontId="3" fillId="0" borderId="11" xfId="0" applyNumberFormat="1" applyFont="1" applyBorder="1" applyAlignment="1">
      <alignment horizontal="center" vertical="center"/>
    </xf>
    <xf numFmtId="43" fontId="3" fillId="0" borderId="11" xfId="1" applyFont="1" applyFill="1" applyBorder="1" applyAlignment="1" applyProtection="1">
      <alignment horizontal="right" vertical="center"/>
    </xf>
    <xf numFmtId="43" fontId="3" fillId="2" borderId="11" xfId="1" applyFont="1" applyFill="1" applyBorder="1" applyAlignment="1" applyProtection="1">
      <alignment horizontal="right" vertical="center" wrapText="1"/>
      <protection locked="0"/>
    </xf>
    <xf numFmtId="2" fontId="3" fillId="0" borderId="11" xfId="0" applyNumberFormat="1" applyFont="1" applyBorder="1" applyAlignment="1">
      <alignment horizontal="left" vertical="center" wrapText="1"/>
    </xf>
    <xf numFmtId="43" fontId="3" fillId="0" borderId="13" xfId="1" applyFont="1" applyFill="1" applyBorder="1" applyAlignment="1" applyProtection="1">
      <alignment horizontal="right" vertical="center"/>
    </xf>
    <xf numFmtId="1" fontId="8" fillId="3" borderId="14" xfId="1" applyNumberFormat="1" applyFont="1" applyFill="1" applyBorder="1" applyAlignment="1" applyProtection="1">
      <alignment horizontal="center" vertical="center"/>
      <protection locked="0"/>
    </xf>
    <xf numFmtId="43" fontId="3" fillId="0" borderId="11" xfId="1" applyFont="1" applyBorder="1" applyAlignment="1">
      <alignment horizontal="right" vertical="center"/>
    </xf>
    <xf numFmtId="0" fontId="0" fillId="5" borderId="0" xfId="0" applyFill="1"/>
    <xf numFmtId="0" fontId="3" fillId="5" borderId="0" xfId="0" applyFont="1" applyFill="1"/>
    <xf numFmtId="1" fontId="7" fillId="5" borderId="0" xfId="0" applyNumberFormat="1" applyFont="1" applyFill="1" applyAlignment="1">
      <alignment horizontal="center" vertical="center" textRotation="90" wrapText="1"/>
    </xf>
    <xf numFmtId="1" fontId="8" fillId="5" borderId="0" xfId="0" applyNumberFormat="1" applyFont="1" applyFill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Continuous" vertical="center"/>
    </xf>
    <xf numFmtId="0" fontId="3" fillId="5" borderId="0" xfId="0" applyFont="1" applyFill="1" applyAlignment="1">
      <alignment horizontal="centerContinuous" vertical="center"/>
    </xf>
    <xf numFmtId="41" fontId="3" fillId="5" borderId="0" xfId="0" applyNumberFormat="1" applyFont="1" applyFill="1" applyAlignment="1">
      <alignment horizontal="centerContinuous" vertical="center"/>
    </xf>
    <xf numFmtId="0" fontId="3" fillId="5" borderId="1" xfId="0" applyFont="1" applyFill="1" applyBorder="1" applyAlignment="1">
      <alignment horizontal="left" vertical="center"/>
    </xf>
    <xf numFmtId="0" fontId="3" fillId="5" borderId="2" xfId="0" applyFont="1" applyFill="1" applyBorder="1" applyAlignment="1">
      <alignment horizontal="right" vertical="center"/>
    </xf>
    <xf numFmtId="10" fontId="2" fillId="5" borderId="4" xfId="0" applyNumberFormat="1" applyFont="1" applyFill="1" applyBorder="1" applyAlignment="1">
      <alignment horizontal="center" vertical="center"/>
    </xf>
    <xf numFmtId="1" fontId="7" fillId="5" borderId="0" xfId="0" applyNumberFormat="1" applyFont="1" applyFill="1" applyAlignment="1">
      <alignment horizontal="center" vertical="center"/>
    </xf>
    <xf numFmtId="41" fontId="3" fillId="5" borderId="0" xfId="0" applyNumberFormat="1" applyFont="1" applyFill="1" applyAlignment="1">
      <alignment horizontal="center" vertical="center"/>
    </xf>
    <xf numFmtId="17" fontId="2" fillId="5" borderId="4" xfId="0" applyNumberFormat="1" applyFont="1" applyFill="1" applyBorder="1" applyAlignment="1">
      <alignment horizontal="left" vertical="center"/>
    </xf>
    <xf numFmtId="41" fontId="3" fillId="5" borderId="14" xfId="0" applyNumberFormat="1" applyFont="1" applyFill="1" applyBorder="1" applyAlignment="1">
      <alignment horizontal="center" vertical="center"/>
    </xf>
    <xf numFmtId="0" fontId="3" fillId="5" borderId="15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Continuous" vertical="center" wrapText="1"/>
    </xf>
    <xf numFmtId="0" fontId="3" fillId="5" borderId="3" xfId="0" applyFont="1" applyFill="1" applyBorder="1" applyAlignment="1">
      <alignment horizontal="centerContinuous" vertical="center" wrapText="1"/>
    </xf>
    <xf numFmtId="0" fontId="3" fillId="5" borderId="4" xfId="0" applyFont="1" applyFill="1" applyBorder="1" applyAlignment="1">
      <alignment horizontal="centerContinuous" vertical="center" wrapText="1"/>
    </xf>
    <xf numFmtId="0" fontId="3" fillId="5" borderId="3" xfId="0" applyFont="1" applyFill="1" applyBorder="1" applyAlignment="1">
      <alignment horizontal="center" vertical="center" wrapText="1"/>
    </xf>
    <xf numFmtId="41" fontId="3" fillId="5" borderId="3" xfId="0" applyNumberFormat="1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left" vertical="center" wrapText="1"/>
    </xf>
    <xf numFmtId="0" fontId="2" fillId="5" borderId="2" xfId="0" applyFont="1" applyFill="1" applyBorder="1" applyAlignment="1">
      <alignment horizontal="left" vertical="center" wrapText="1"/>
    </xf>
    <xf numFmtId="0" fontId="2" fillId="5" borderId="2" xfId="0" applyFont="1" applyFill="1" applyBorder="1" applyAlignment="1">
      <alignment horizontal="left" vertical="center"/>
    </xf>
    <xf numFmtId="41" fontId="2" fillId="5" borderId="2" xfId="0" applyNumberFormat="1" applyFont="1" applyFill="1" applyBorder="1" applyAlignment="1">
      <alignment horizontal="left" vertical="center"/>
    </xf>
    <xf numFmtId="164" fontId="5" fillId="5" borderId="2" xfId="0" applyNumberFormat="1" applyFont="1" applyFill="1" applyBorder="1" applyAlignment="1">
      <alignment horizontal="right" vertical="center" wrapText="1"/>
    </xf>
    <xf numFmtId="0" fontId="2" fillId="5" borderId="2" xfId="0" applyFont="1" applyFill="1" applyBorder="1" applyAlignment="1">
      <alignment horizontal="right" vertical="center" wrapText="1"/>
    </xf>
    <xf numFmtId="43" fontId="2" fillId="5" borderId="4" xfId="0" applyNumberFormat="1" applyFont="1" applyFill="1" applyBorder="1" applyAlignment="1">
      <alignment horizontal="right" vertical="center"/>
    </xf>
    <xf numFmtId="0" fontId="2" fillId="6" borderId="8" xfId="0" applyFont="1" applyFill="1" applyBorder="1" applyAlignment="1">
      <alignment horizontal="left" vertical="center"/>
    </xf>
    <xf numFmtId="0" fontId="2" fillId="6" borderId="9" xfId="0" applyFont="1" applyFill="1" applyBorder="1" applyAlignment="1">
      <alignment horizontal="center" vertical="center" wrapText="1"/>
    </xf>
    <xf numFmtId="49" fontId="2" fillId="6" borderId="10" xfId="0" applyNumberFormat="1" applyFont="1" applyFill="1" applyBorder="1" applyAlignment="1">
      <alignment horizontal="center" vertical="center" wrapText="1"/>
    </xf>
    <xf numFmtId="165" fontId="2" fillId="6" borderId="11" xfId="0" applyNumberFormat="1" applyFont="1" applyFill="1" applyBorder="1" applyAlignment="1">
      <alignment horizontal="left" vertical="center" wrapText="1"/>
    </xf>
    <xf numFmtId="41" fontId="2" fillId="6" borderId="11" xfId="0" applyNumberFormat="1" applyFont="1" applyFill="1" applyBorder="1" applyAlignment="1">
      <alignment horizontal="center" vertical="center"/>
    </xf>
    <xf numFmtId="43" fontId="2" fillId="6" borderId="11" xfId="1" applyFont="1" applyFill="1" applyBorder="1" applyAlignment="1" applyProtection="1">
      <alignment horizontal="right" vertical="center"/>
    </xf>
    <xf numFmtId="43" fontId="2" fillId="6" borderId="11" xfId="1" applyFont="1" applyFill="1" applyBorder="1" applyAlignment="1" applyProtection="1">
      <alignment horizontal="right" vertical="center" wrapText="1"/>
    </xf>
    <xf numFmtId="43" fontId="2" fillId="6" borderId="13" xfId="1" applyFont="1" applyFill="1" applyBorder="1" applyAlignment="1" applyProtection="1">
      <alignment horizontal="right" vertical="center"/>
    </xf>
    <xf numFmtId="43" fontId="2" fillId="6" borderId="16" xfId="1" applyFont="1" applyFill="1" applyBorder="1" applyAlignment="1">
      <alignment horizontal="right" vertical="center"/>
    </xf>
    <xf numFmtId="0" fontId="2" fillId="6" borderId="11" xfId="0" applyFont="1" applyFill="1" applyBorder="1" applyAlignment="1">
      <alignment horizontal="left" vertical="center"/>
    </xf>
    <xf numFmtId="0" fontId="2" fillId="6" borderId="9" xfId="0" applyFont="1" applyFill="1" applyBorder="1" applyAlignment="1" applyProtection="1">
      <alignment horizontal="center" vertical="center" wrapText="1"/>
      <protection locked="0"/>
    </xf>
    <xf numFmtId="49" fontId="2" fillId="6" borderId="12" xfId="0" quotePrefix="1" applyNumberFormat="1" applyFont="1" applyFill="1" applyBorder="1" applyAlignment="1" applyProtection="1">
      <alignment horizontal="center" vertical="center" wrapText="1"/>
      <protection locked="0"/>
    </xf>
    <xf numFmtId="43" fontId="2" fillId="6" borderId="11" xfId="1" applyFont="1" applyFill="1" applyBorder="1" applyAlignment="1" applyProtection="1">
      <alignment horizontal="right" vertical="center" wrapText="1"/>
      <protection locked="0"/>
    </xf>
    <xf numFmtId="43" fontId="2" fillId="6" borderId="11" xfId="1" applyFont="1" applyFill="1" applyBorder="1" applyAlignment="1">
      <alignment horizontal="right" vertical="center"/>
    </xf>
    <xf numFmtId="0" fontId="7" fillId="6" borderId="11" xfId="0" applyFont="1" applyFill="1" applyBorder="1" applyAlignment="1">
      <alignment horizontal="left" vertical="center"/>
    </xf>
    <xf numFmtId="0" fontId="7" fillId="6" borderId="9" xfId="0" applyFont="1" applyFill="1" applyBorder="1" applyAlignment="1" applyProtection="1">
      <alignment horizontal="center" vertical="center" wrapText="1"/>
      <protection locked="0"/>
    </xf>
    <xf numFmtId="49" fontId="7" fillId="6" borderId="12" xfId="0" applyNumberFormat="1" applyFont="1" applyFill="1" applyBorder="1" applyAlignment="1" applyProtection="1">
      <alignment horizontal="center" vertical="center" wrapText="1"/>
      <protection locked="0"/>
    </xf>
    <xf numFmtId="2" fontId="7" fillId="6" borderId="11" xfId="0" applyNumberFormat="1" applyFont="1" applyFill="1" applyBorder="1" applyAlignment="1">
      <alignment horizontal="left" vertical="center" wrapText="1"/>
    </xf>
    <xf numFmtId="41" fontId="7" fillId="6" borderId="11" xfId="0" applyNumberFormat="1" applyFont="1" applyFill="1" applyBorder="1" applyAlignment="1">
      <alignment horizontal="center" vertical="center"/>
    </xf>
    <xf numFmtId="43" fontId="7" fillId="6" borderId="11" xfId="1" applyFont="1" applyFill="1" applyBorder="1" applyAlignment="1" applyProtection="1">
      <alignment horizontal="right" vertical="center"/>
    </xf>
    <xf numFmtId="43" fontId="7" fillId="6" borderId="11" xfId="1" applyFont="1" applyFill="1" applyBorder="1" applyAlignment="1" applyProtection="1">
      <alignment horizontal="right" vertical="center" wrapText="1"/>
      <protection locked="0"/>
    </xf>
    <xf numFmtId="43" fontId="7" fillId="6" borderId="13" xfId="1" applyFont="1" applyFill="1" applyBorder="1" applyAlignment="1" applyProtection="1">
      <alignment horizontal="right" vertical="center"/>
    </xf>
    <xf numFmtId="43" fontId="7" fillId="6" borderId="11" xfId="1" applyFont="1" applyFill="1" applyBorder="1" applyAlignment="1">
      <alignment horizontal="right" vertical="center"/>
    </xf>
    <xf numFmtId="49" fontId="2" fillId="6" borderId="12" xfId="0" applyNumberFormat="1" applyFont="1" applyFill="1" applyBorder="1" applyAlignment="1" applyProtection="1">
      <alignment horizontal="center" vertical="center" wrapText="1"/>
      <protection locked="0"/>
    </xf>
    <xf numFmtId="2" fontId="2" fillId="6" borderId="11" xfId="0" applyNumberFormat="1" applyFont="1" applyFill="1" applyBorder="1" applyAlignment="1">
      <alignment horizontal="left" vertical="center" wrapText="1"/>
    </xf>
    <xf numFmtId="0" fontId="3" fillId="5" borderId="17" xfId="0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left" vertical="center" wrapText="1"/>
    </xf>
    <xf numFmtId="41" fontId="3" fillId="5" borderId="2" xfId="0" applyNumberFormat="1" applyFont="1" applyFill="1" applyBorder="1" applyAlignment="1">
      <alignment horizontal="center" vertical="center"/>
    </xf>
    <xf numFmtId="43" fontId="3" fillId="5" borderId="2" xfId="1" applyFont="1" applyFill="1" applyBorder="1" applyAlignment="1" applyProtection="1">
      <alignment horizontal="center" vertical="center"/>
    </xf>
    <xf numFmtId="43" fontId="3" fillId="5" borderId="4" xfId="1" applyFont="1" applyFill="1" applyBorder="1" applyAlignment="1">
      <alignment horizontal="center" vertical="center"/>
    </xf>
    <xf numFmtId="0" fontId="8" fillId="7" borderId="19" xfId="2" applyFont="1" applyFill="1" applyBorder="1" applyAlignment="1">
      <alignment horizontal="center" vertical="center"/>
    </xf>
    <xf numFmtId="166" fontId="8" fillId="0" borderId="16" xfId="3" applyFont="1" applyFill="1" applyBorder="1" applyAlignment="1" applyProtection="1">
      <alignment horizontal="right" vertical="center"/>
    </xf>
    <xf numFmtId="166" fontId="8" fillId="0" borderId="16" xfId="3" applyFont="1" applyFill="1" applyBorder="1" applyAlignment="1" applyProtection="1">
      <alignment horizontal="right" vertical="center"/>
      <protection locked="0"/>
    </xf>
    <xf numFmtId="166" fontId="8" fillId="0" borderId="11" xfId="3" applyFont="1" applyFill="1" applyBorder="1" applyAlignment="1" applyProtection="1">
      <alignment horizontal="right" vertical="center"/>
    </xf>
    <xf numFmtId="166" fontId="8" fillId="0" borderId="11" xfId="3" applyFont="1" applyFill="1" applyBorder="1" applyAlignment="1" applyProtection="1">
      <alignment horizontal="right" vertical="center"/>
      <protection locked="0"/>
    </xf>
    <xf numFmtId="166" fontId="8" fillId="0" borderId="3" xfId="3" applyFont="1" applyFill="1" applyBorder="1" applyAlignment="1" applyProtection="1">
      <alignment horizontal="right" vertical="center"/>
    </xf>
    <xf numFmtId="0" fontId="8" fillId="5" borderId="0" xfId="2" applyFont="1" applyFill="1" applyAlignment="1">
      <alignment vertical="center"/>
    </xf>
    <xf numFmtId="0" fontId="10" fillId="5" borderId="0" xfId="2" applyFont="1" applyFill="1" applyAlignment="1">
      <alignment horizontal="left" vertical="center"/>
    </xf>
    <xf numFmtId="0" fontId="8" fillId="5" borderId="18" xfId="2" applyFont="1" applyFill="1" applyBorder="1" applyAlignment="1">
      <alignment horizontal="center" vertical="center"/>
    </xf>
    <xf numFmtId="0" fontId="8" fillId="5" borderId="0" xfId="2" applyFont="1" applyFill="1" applyAlignment="1">
      <alignment horizontal="center" vertical="center"/>
    </xf>
    <xf numFmtId="0" fontId="11" fillId="5" borderId="0" xfId="2" applyFont="1" applyFill="1" applyAlignment="1">
      <alignment horizontal="left" vertical="center"/>
    </xf>
    <xf numFmtId="0" fontId="7" fillId="5" borderId="0" xfId="2" applyFont="1" applyFill="1" applyAlignment="1">
      <alignment horizontal="center" vertical="center"/>
    </xf>
    <xf numFmtId="0" fontId="7" fillId="5" borderId="19" xfId="2" applyFont="1" applyFill="1" applyBorder="1" applyAlignment="1">
      <alignment horizontal="center" vertical="center"/>
    </xf>
    <xf numFmtId="0" fontId="8" fillId="5" borderId="14" xfId="2" applyFont="1" applyFill="1" applyBorder="1" applyAlignment="1">
      <alignment vertical="center"/>
    </xf>
    <xf numFmtId="0" fontId="12" fillId="5" borderId="0" xfId="2" applyFont="1" applyFill="1" applyAlignment="1">
      <alignment vertical="center"/>
    </xf>
    <xf numFmtId="0" fontId="8" fillId="5" borderId="14" xfId="2" applyFont="1" applyFill="1" applyBorder="1" applyAlignment="1">
      <alignment horizontal="left" vertical="center"/>
    </xf>
    <xf numFmtId="0" fontId="8" fillId="5" borderId="0" xfId="2" applyFont="1" applyFill="1" applyAlignment="1">
      <alignment horizontal="left" vertical="center"/>
    </xf>
    <xf numFmtId="0" fontId="13" fillId="5" borderId="0" xfId="2" applyFont="1" applyFill="1" applyAlignment="1">
      <alignment horizontal="center" vertical="center"/>
    </xf>
    <xf numFmtId="0" fontId="12" fillId="5" borderId="0" xfId="2" applyFont="1" applyFill="1" applyAlignment="1">
      <alignment horizontal="left" vertical="center"/>
    </xf>
    <xf numFmtId="0" fontId="12" fillId="5" borderId="14" xfId="2" applyFont="1" applyFill="1" applyBorder="1" applyAlignment="1">
      <alignment vertical="center"/>
    </xf>
    <xf numFmtId="0" fontId="8" fillId="5" borderId="15" xfId="2" applyFont="1" applyFill="1" applyBorder="1" applyAlignment="1">
      <alignment horizontal="left" vertical="center"/>
    </xf>
    <xf numFmtId="0" fontId="3" fillId="5" borderId="14" xfId="0" applyFont="1" applyFill="1" applyBorder="1"/>
    <xf numFmtId="0" fontId="6" fillId="5" borderId="0" xfId="0" applyFont="1" applyFill="1" applyAlignment="1">
      <alignment vertical="center"/>
    </xf>
    <xf numFmtId="0" fontId="6" fillId="5" borderId="15" xfId="0" applyFont="1" applyFill="1" applyBorder="1" applyAlignment="1">
      <alignment vertical="center"/>
    </xf>
    <xf numFmtId="49" fontId="3" fillId="5" borderId="17" xfId="0" applyNumberFormat="1" applyFont="1" applyFill="1" applyBorder="1"/>
    <xf numFmtId="0" fontId="3" fillId="5" borderId="5" xfId="0" applyFont="1" applyFill="1" applyBorder="1"/>
    <xf numFmtId="0" fontId="3" fillId="5" borderId="20" xfId="0" applyFont="1" applyFill="1" applyBorder="1"/>
    <xf numFmtId="165" fontId="8" fillId="5" borderId="8" xfId="2" applyNumberFormat="1" applyFont="1" applyFill="1" applyBorder="1" applyAlignment="1">
      <alignment horizontal="center" vertical="center"/>
    </xf>
    <xf numFmtId="0" fontId="8" fillId="5" borderId="8" xfId="2" applyFont="1" applyFill="1" applyBorder="1" applyAlignment="1">
      <alignment horizontal="center" vertical="center"/>
    </xf>
    <xf numFmtId="165" fontId="8" fillId="5" borderId="19" xfId="2" applyNumberFormat="1" applyFont="1" applyFill="1" applyBorder="1" applyAlignment="1">
      <alignment horizontal="center" vertical="center"/>
    </xf>
    <xf numFmtId="0" fontId="8" fillId="5" borderId="19" xfId="2" applyFont="1" applyFill="1" applyBorder="1" applyAlignment="1">
      <alignment horizontal="center" vertical="center"/>
    </xf>
    <xf numFmtId="0" fontId="7" fillId="5" borderId="19" xfId="2" quotePrefix="1" applyFont="1" applyFill="1" applyBorder="1" applyAlignment="1">
      <alignment horizontal="center" vertical="center" wrapText="1"/>
    </xf>
    <xf numFmtId="166" fontId="8" fillId="5" borderId="16" xfId="3" applyFont="1" applyFill="1" applyBorder="1" applyAlignment="1" applyProtection="1">
      <alignment horizontal="right" vertical="center"/>
    </xf>
    <xf numFmtId="10" fontId="8" fillId="5" borderId="11" xfId="4" applyNumberFormat="1" applyFont="1" applyFill="1" applyBorder="1" applyAlignment="1" applyProtection="1">
      <alignment horizontal="right" vertical="center"/>
    </xf>
    <xf numFmtId="165" fontId="8" fillId="5" borderId="11" xfId="2" applyNumberFormat="1" applyFont="1" applyFill="1" applyBorder="1" applyAlignment="1">
      <alignment horizontal="center" vertical="center"/>
    </xf>
    <xf numFmtId="166" fontId="8" fillId="5" borderId="11" xfId="3" applyFont="1" applyFill="1" applyBorder="1" applyAlignment="1" applyProtection="1">
      <alignment horizontal="right" vertical="center"/>
    </xf>
    <xf numFmtId="165" fontId="8" fillId="5" borderId="13" xfId="2" applyNumberFormat="1" applyFont="1" applyFill="1" applyBorder="1" applyAlignment="1">
      <alignment horizontal="left" vertical="center" wrapText="1"/>
    </xf>
    <xf numFmtId="165" fontId="8" fillId="5" borderId="22" xfId="2" applyNumberFormat="1" applyFont="1" applyFill="1" applyBorder="1" applyAlignment="1">
      <alignment horizontal="left" vertical="center" wrapText="1"/>
    </xf>
    <xf numFmtId="0" fontId="8" fillId="5" borderId="23" xfId="2" applyFont="1" applyFill="1" applyBorder="1" applyAlignment="1">
      <alignment horizontal="center" vertical="center"/>
    </xf>
    <xf numFmtId="0" fontId="7" fillId="5" borderId="24" xfId="2" applyFont="1" applyFill="1" applyBorder="1" applyAlignment="1">
      <alignment horizontal="right" vertical="center"/>
    </xf>
    <xf numFmtId="0" fontId="7" fillId="5" borderId="25" xfId="2" applyFont="1" applyFill="1" applyBorder="1" applyAlignment="1">
      <alignment horizontal="right" vertical="center"/>
    </xf>
    <xf numFmtId="166" fontId="8" fillId="5" borderId="23" xfId="3" applyFont="1" applyFill="1" applyBorder="1" applyAlignment="1" applyProtection="1">
      <alignment horizontal="right" vertical="center"/>
    </xf>
    <xf numFmtId="0" fontId="8" fillId="5" borderId="3" xfId="2" applyFont="1" applyFill="1" applyBorder="1" applyAlignment="1">
      <alignment horizontal="center" vertical="center"/>
    </xf>
    <xf numFmtId="0" fontId="7" fillId="5" borderId="1" xfId="2" applyFont="1" applyFill="1" applyBorder="1" applyAlignment="1">
      <alignment horizontal="right" vertical="center"/>
    </xf>
    <xf numFmtId="0" fontId="7" fillId="5" borderId="2" xfId="2" applyFont="1" applyFill="1" applyBorder="1" applyAlignment="1">
      <alignment horizontal="right" vertical="center"/>
    </xf>
    <xf numFmtId="166" fontId="8" fillId="5" borderId="3" xfId="3" applyFont="1" applyFill="1" applyBorder="1" applyAlignment="1" applyProtection="1">
      <alignment horizontal="right" vertical="center"/>
    </xf>
    <xf numFmtId="10" fontId="8" fillId="5" borderId="3" xfId="4" applyNumberFormat="1" applyFont="1" applyFill="1" applyBorder="1" applyAlignment="1" applyProtection="1">
      <alignment horizontal="right" vertical="center"/>
    </xf>
    <xf numFmtId="14" fontId="8" fillId="5" borderId="0" xfId="2" applyNumberFormat="1" applyFont="1" applyFill="1" applyAlignment="1">
      <alignment vertical="center"/>
    </xf>
    <xf numFmtId="0" fontId="7" fillId="5" borderId="26" xfId="2" applyFont="1" applyFill="1" applyBorder="1" applyAlignment="1" applyProtection="1">
      <alignment horizontal="left" vertical="center"/>
      <protection locked="0"/>
    </xf>
    <xf numFmtId="0" fontId="8" fillId="5" borderId="26" xfId="2" applyFont="1" applyFill="1" applyBorder="1" applyAlignment="1">
      <alignment vertical="center"/>
    </xf>
    <xf numFmtId="0" fontId="7" fillId="5" borderId="0" xfId="2" applyFont="1" applyFill="1" applyAlignment="1">
      <alignment horizontal="left" vertical="center"/>
    </xf>
    <xf numFmtId="0" fontId="7" fillId="5" borderId="0" xfId="2" applyFont="1" applyFill="1" applyAlignment="1">
      <alignment vertical="center"/>
    </xf>
    <xf numFmtId="0" fontId="8" fillId="5" borderId="0" xfId="2" applyFont="1" applyFill="1" applyBorder="1" applyAlignment="1">
      <alignment vertical="center"/>
    </xf>
    <xf numFmtId="0" fontId="7" fillId="2" borderId="1" xfId="2" applyFont="1" applyFill="1" applyBorder="1" applyAlignment="1" applyProtection="1">
      <alignment horizontal="center" vertical="center"/>
      <protection locked="0"/>
    </xf>
    <xf numFmtId="0" fontId="7" fillId="2" borderId="4" xfId="2" applyFont="1" applyFill="1" applyBorder="1" applyAlignment="1" applyProtection="1">
      <alignment horizontal="center" vertical="center"/>
      <protection locked="0"/>
    </xf>
    <xf numFmtId="0" fontId="7" fillId="7" borderId="1" xfId="2" applyFont="1" applyFill="1" applyBorder="1" applyAlignment="1">
      <alignment horizontal="center" vertical="center"/>
    </xf>
    <xf numFmtId="0" fontId="7" fillId="7" borderId="4" xfId="2" applyFont="1" applyFill="1" applyBorder="1" applyAlignment="1">
      <alignment horizontal="center" vertical="center"/>
    </xf>
    <xf numFmtId="9" fontId="0" fillId="5" borderId="0" xfId="0" applyNumberFormat="1" applyFill="1"/>
    <xf numFmtId="0" fontId="7" fillId="5" borderId="17" xfId="2" applyFont="1" applyFill="1" applyBorder="1" applyAlignment="1">
      <alignment horizontal="left" vertical="center" wrapText="1"/>
    </xf>
    <xf numFmtId="0" fontId="7" fillId="5" borderId="5" xfId="2" applyFont="1" applyFill="1" applyBorder="1" applyAlignment="1">
      <alignment horizontal="left" vertical="center" wrapText="1"/>
    </xf>
    <xf numFmtId="0" fontId="7" fillId="5" borderId="20" xfId="2" applyFont="1" applyFill="1" applyBorder="1" applyAlignment="1">
      <alignment horizontal="left" vertical="center" wrapText="1"/>
    </xf>
    <xf numFmtId="0" fontId="7" fillId="5" borderId="27" xfId="2" applyFont="1" applyFill="1" applyBorder="1" applyAlignment="1">
      <alignment horizontal="left" vertical="center" wrapText="1"/>
    </xf>
    <xf numFmtId="0" fontId="2" fillId="5" borderId="27" xfId="0" applyFont="1" applyFill="1" applyBorder="1" applyAlignment="1">
      <alignment vertical="center" wrapText="1"/>
    </xf>
    <xf numFmtId="0" fontId="2" fillId="5" borderId="0" xfId="0" applyFont="1" applyFill="1" applyBorder="1" applyAlignment="1">
      <alignment vertical="center" wrapText="1"/>
    </xf>
    <xf numFmtId="0" fontId="8" fillId="5" borderId="0" xfId="2" applyFont="1" applyFill="1" applyAlignment="1">
      <alignment horizontal="left" vertical="center" wrapText="1"/>
    </xf>
    <xf numFmtId="0" fontId="3" fillId="5" borderId="0" xfId="0" applyFont="1" applyFill="1" applyAlignment="1">
      <alignment vertical="center" wrapText="1"/>
    </xf>
    <xf numFmtId="165" fontId="8" fillId="5" borderId="6" xfId="2" applyNumberFormat="1" applyFont="1" applyFill="1" applyBorder="1" applyAlignment="1">
      <alignment horizontal="center" vertical="center"/>
    </xf>
    <xf numFmtId="165" fontId="8" fillId="5" borderId="28" xfId="2" applyNumberFormat="1" applyFont="1" applyFill="1" applyBorder="1" applyAlignment="1">
      <alignment horizontal="center" vertical="center"/>
    </xf>
    <xf numFmtId="165" fontId="8" fillId="5" borderId="17" xfId="2" applyNumberFormat="1" applyFont="1" applyFill="1" applyBorder="1" applyAlignment="1">
      <alignment horizontal="center" vertical="center"/>
    </xf>
    <xf numFmtId="165" fontId="8" fillId="5" borderId="20" xfId="2" applyNumberFormat="1" applyFont="1" applyFill="1" applyBorder="1" applyAlignment="1">
      <alignment horizontal="center" vertical="center"/>
    </xf>
    <xf numFmtId="165" fontId="8" fillId="5" borderId="7" xfId="2" applyNumberFormat="1" applyFont="1" applyFill="1" applyBorder="1" applyAlignment="1">
      <alignment horizontal="left" vertical="center" wrapText="1"/>
    </xf>
    <xf numFmtId="165" fontId="8" fillId="5" borderId="21" xfId="2" applyNumberFormat="1" applyFont="1" applyFill="1" applyBorder="1" applyAlignment="1">
      <alignment horizontal="left" vertical="center" wrapText="1"/>
    </xf>
    <xf numFmtId="165" fontId="8" fillId="5" borderId="13" xfId="2" applyNumberFormat="1" applyFont="1" applyFill="1" applyBorder="1" applyAlignment="1">
      <alignment horizontal="left" vertical="center" wrapText="1"/>
    </xf>
    <xf numFmtId="165" fontId="8" fillId="5" borderId="22" xfId="2" applyNumberFormat="1" applyFont="1" applyFill="1" applyBorder="1" applyAlignment="1">
      <alignment horizontal="left" vertical="center" wrapText="1"/>
    </xf>
    <xf numFmtId="0" fontId="14" fillId="5" borderId="14" xfId="0" applyFont="1" applyFill="1" applyBorder="1" applyAlignment="1">
      <alignment horizontal="center" vertical="center"/>
    </xf>
    <xf numFmtId="0" fontId="14" fillId="5" borderId="0" xfId="0" applyFont="1" applyFill="1" applyAlignment="1">
      <alignment horizontal="center" vertical="center"/>
    </xf>
    <xf numFmtId="49" fontId="7" fillId="5" borderId="17" xfId="2" applyNumberFormat="1" applyFont="1" applyFill="1" applyBorder="1" applyAlignment="1">
      <alignment horizontal="left" vertical="center" wrapText="1"/>
    </xf>
    <xf numFmtId="0" fontId="3" fillId="5" borderId="17" xfId="0" applyFont="1" applyFill="1" applyBorder="1" applyAlignment="1">
      <alignment horizontal="left" vertical="center" wrapText="1"/>
    </xf>
    <xf numFmtId="0" fontId="3" fillId="5" borderId="5" xfId="0" applyFont="1" applyFill="1" applyBorder="1" applyAlignment="1">
      <alignment horizontal="left" vertical="center" wrapText="1"/>
    </xf>
    <xf numFmtId="0" fontId="3" fillId="5" borderId="20" xfId="0" applyFont="1" applyFill="1" applyBorder="1" applyAlignment="1">
      <alignment horizontal="left" vertical="center" wrapText="1"/>
    </xf>
    <xf numFmtId="49" fontId="7" fillId="5" borderId="5" xfId="2" applyNumberFormat="1" applyFont="1" applyFill="1" applyBorder="1" applyAlignment="1">
      <alignment horizontal="left" vertical="center" wrapText="1"/>
    </xf>
    <xf numFmtId="49" fontId="7" fillId="5" borderId="20" xfId="2" applyNumberFormat="1" applyFont="1" applyFill="1" applyBorder="1" applyAlignment="1">
      <alignment horizontal="left" vertical="center" wrapText="1"/>
    </xf>
    <xf numFmtId="10" fontId="8" fillId="0" borderId="23" xfId="5" applyNumberFormat="1" applyFont="1" applyFill="1" applyBorder="1" applyAlignment="1" applyProtection="1">
      <alignment horizontal="right" vertical="center"/>
    </xf>
  </cellXfs>
  <cellStyles count="6">
    <cellStyle name="Normal" xfId="0" builtinId="0"/>
    <cellStyle name="Normal 2" xfId="2" xr:uid="{BC9173F1-9B6D-4C1D-9628-D7A6D7D87A36}"/>
    <cellStyle name="Porcentagem" xfId="5" builtinId="5"/>
    <cellStyle name="Porcentagem 2" xfId="4" xr:uid="{5E793E3D-840A-4E53-A800-496AAF85EACA}"/>
    <cellStyle name="Vírgula" xfId="1" builtinId="3"/>
    <cellStyle name="Vírgula 2" xfId="3" xr:uid="{73C744C5-E697-493A-8BE9-D4AE68CBDADB}"/>
  </cellStyles>
  <dxfs count="8">
    <dxf>
      <fill>
        <patternFill>
          <bgColor rgb="FFFFFF99"/>
        </patternFill>
      </fill>
    </dxf>
    <dxf>
      <fill>
        <patternFill patternType="darkUp"/>
      </fill>
    </dxf>
    <dxf>
      <font>
        <b/>
        <i val="0"/>
      </font>
      <fill>
        <patternFill>
          <bgColor theme="0" tint="-0.14996795556505021"/>
        </patternFill>
      </fill>
      <border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/>
        <name val="Calibri Light"/>
        <scheme val="none"/>
      </font>
      <fill>
        <patternFill>
          <bgColor theme="0"/>
        </patternFill>
      </fill>
    </dxf>
    <dxf>
      <font>
        <b/>
        <i val="0"/>
      </font>
      <fill>
        <patternFill>
          <bgColor theme="0" tint="-0.14996795556505021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14996795556505021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14996795556505021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color theme="0" tint="-0.14996795556505021"/>
        <name val="Calibri Light"/>
        <scheme val="none"/>
      </font>
      <fill>
        <patternFill>
          <fgColor indexed="64"/>
          <bgColor theme="0" tint="-0.14996795556505021"/>
        </patternFill>
      </fill>
      <border>
        <left/>
        <right/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19049</xdr:rowOff>
    </xdr:from>
    <xdr:to>
      <xdr:col>13</xdr:col>
      <xdr:colOff>140</xdr:colOff>
      <xdr:row>6</xdr:row>
      <xdr:rowOff>180974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C173181-62D8-42CD-9620-0E4C9E23B7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590549"/>
          <a:ext cx="7848740" cy="1304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19050</xdr:colOff>
      <xdr:row>149</xdr:row>
      <xdr:rowOff>0</xdr:rowOff>
    </xdr:from>
    <xdr:to>
      <xdr:col>13</xdr:col>
      <xdr:colOff>133350</xdr:colOff>
      <xdr:row>158</xdr:row>
      <xdr:rowOff>85725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44A6C7D-3D7B-483A-8FCC-C15977C668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5" y="50263425"/>
          <a:ext cx="7553325" cy="180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0</xdr:col>
      <xdr:colOff>571500</xdr:colOff>
      <xdr:row>2</xdr:row>
      <xdr:rowOff>123825</xdr:rowOff>
    </xdr:to>
    <xdr:pic>
      <xdr:nvPicPr>
        <xdr:cNvPr id="2" name="Imagem 23">
          <a:extLst>
            <a:ext uri="{FF2B5EF4-FFF2-40B4-BE49-F238E27FC236}">
              <a16:creationId xmlns:a16="http://schemas.microsoft.com/office/drawing/2014/main" id="{41EC6600-7E15-4D01-ACF6-AEA71ACC7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0"/>
          <a:ext cx="5619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56572C-0FEE-4B12-8584-CD8C8108ACE0}">
  <dimension ref="A1:AL242"/>
  <sheetViews>
    <sheetView topLeftCell="A137" workbookViewId="0">
      <selection activeCell="E136" sqref="E136:E147"/>
    </sheetView>
  </sheetViews>
  <sheetFormatPr defaultColWidth="9.28515625" defaultRowHeight="15" x14ac:dyDescent="0.25"/>
  <cols>
    <col min="1" max="4" width="9.28515625" style="12"/>
    <col min="5" max="5" width="6.140625" bestFit="1" customWidth="1"/>
    <col min="8" max="8" width="51" customWidth="1"/>
    <col min="9" max="9" width="6.85546875" bestFit="1" customWidth="1"/>
    <col min="10" max="10" width="7.85546875" bestFit="1" customWidth="1"/>
    <col min="11" max="11" width="8.42578125" bestFit="1" customWidth="1"/>
    <col min="13" max="13" width="9.5703125" bestFit="1" customWidth="1"/>
    <col min="14" max="14" width="3" bestFit="1" customWidth="1"/>
    <col min="15" max="15" width="3" style="12" bestFit="1" customWidth="1"/>
    <col min="16" max="38" width="9.28515625" style="12"/>
  </cols>
  <sheetData>
    <row r="1" spans="5:15" s="12" customFormat="1" x14ac:dyDescent="0.25"/>
    <row r="2" spans="5:15" s="12" customFormat="1" x14ac:dyDescent="0.25"/>
    <row r="3" spans="5:15" s="12" customFormat="1" x14ac:dyDescent="0.25"/>
    <row r="4" spans="5:15" s="12" customFormat="1" x14ac:dyDescent="0.25"/>
    <row r="5" spans="5:15" s="12" customFormat="1" x14ac:dyDescent="0.25"/>
    <row r="6" spans="5:15" s="12" customFormat="1" x14ac:dyDescent="0.25"/>
    <row r="7" spans="5:15" s="12" customFormat="1" x14ac:dyDescent="0.25"/>
    <row r="8" spans="5:15" s="12" customFormat="1" x14ac:dyDescent="0.25"/>
    <row r="9" spans="5:15" s="12" customFormat="1" x14ac:dyDescent="0.25">
      <c r="E9" s="17"/>
      <c r="F9" s="18"/>
      <c r="G9" s="18"/>
      <c r="H9" s="18"/>
      <c r="I9" s="19"/>
      <c r="J9" s="18"/>
      <c r="K9" s="20"/>
      <c r="L9" s="21" t="s">
        <v>45</v>
      </c>
      <c r="M9" s="22">
        <v>0.27</v>
      </c>
      <c r="N9" s="23" t="s">
        <v>50</v>
      </c>
      <c r="O9" s="13"/>
    </row>
    <row r="10" spans="5:15" s="12" customFormat="1" x14ac:dyDescent="0.25">
      <c r="E10" s="16"/>
      <c r="F10" s="16"/>
      <c r="G10" s="16"/>
      <c r="H10" s="16"/>
      <c r="I10" s="24"/>
      <c r="J10" s="16"/>
      <c r="K10" s="20"/>
      <c r="L10" s="21" t="s">
        <v>46</v>
      </c>
      <c r="M10" s="22" t="s">
        <v>32</v>
      </c>
      <c r="N10" s="23" t="s">
        <v>51</v>
      </c>
      <c r="O10" s="13"/>
    </row>
    <row r="11" spans="5:15" s="12" customFormat="1" x14ac:dyDescent="0.25">
      <c r="E11" s="20"/>
      <c r="F11" s="21"/>
      <c r="G11" s="21" t="s">
        <v>0</v>
      </c>
      <c r="H11" s="25" t="s">
        <v>414</v>
      </c>
      <c r="I11" s="26"/>
      <c r="J11" s="27"/>
      <c r="K11" s="20"/>
      <c r="L11" s="21" t="s">
        <v>47</v>
      </c>
      <c r="M11" s="22" t="s">
        <v>32</v>
      </c>
      <c r="N11" s="23" t="s">
        <v>52</v>
      </c>
      <c r="O11" s="13"/>
    </row>
    <row r="12" spans="5:15" s="12" customFormat="1" x14ac:dyDescent="0.25">
      <c r="E12" s="20"/>
      <c r="F12" s="21"/>
      <c r="G12" s="21" t="s">
        <v>1</v>
      </c>
      <c r="H12" s="25" t="s">
        <v>25</v>
      </c>
      <c r="I12" s="24"/>
      <c r="J12" s="16"/>
      <c r="K12" s="20"/>
      <c r="L12" s="21" t="s">
        <v>48</v>
      </c>
      <c r="M12" s="22">
        <v>0</v>
      </c>
      <c r="N12" s="23" t="s">
        <v>53</v>
      </c>
      <c r="O12" s="13"/>
    </row>
    <row r="13" spans="5:15" s="12" customFormat="1" ht="39" x14ac:dyDescent="0.25">
      <c r="E13" s="28" t="s">
        <v>2</v>
      </c>
      <c r="F13" s="29" t="s">
        <v>3</v>
      </c>
      <c r="G13" s="30" t="s">
        <v>4</v>
      </c>
      <c r="H13" s="31" t="s">
        <v>26</v>
      </c>
      <c r="I13" s="32" t="s">
        <v>27</v>
      </c>
      <c r="J13" s="31" t="s">
        <v>28</v>
      </c>
      <c r="K13" s="31" t="s">
        <v>29</v>
      </c>
      <c r="L13" s="31" t="s">
        <v>49</v>
      </c>
      <c r="M13" s="31" t="s">
        <v>54</v>
      </c>
      <c r="N13" s="14" t="s">
        <v>55</v>
      </c>
      <c r="O13" s="14" t="s">
        <v>56</v>
      </c>
    </row>
    <row r="14" spans="5:15" s="12" customFormat="1" x14ac:dyDescent="0.25">
      <c r="E14" s="33"/>
      <c r="F14" s="34"/>
      <c r="G14" s="34"/>
      <c r="H14" s="35" t="s">
        <v>30</v>
      </c>
      <c r="I14" s="36"/>
      <c r="J14" s="37">
        <v>791999.99999999977</v>
      </c>
      <c r="K14" s="38"/>
      <c r="L14" s="38"/>
      <c r="M14" s="39">
        <f>M15</f>
        <v>901881.89545409998</v>
      </c>
      <c r="N14" s="15" t="s">
        <v>57</v>
      </c>
      <c r="O14" s="15" t="s">
        <v>57</v>
      </c>
    </row>
    <row r="15" spans="5:15" x14ac:dyDescent="0.25">
      <c r="E15" s="40">
        <v>1</v>
      </c>
      <c r="F15" s="41"/>
      <c r="G15" s="42"/>
      <c r="H15" s="43" t="s">
        <v>31</v>
      </c>
      <c r="I15" s="44" t="s">
        <v>32</v>
      </c>
      <c r="J15" s="45">
        <v>0</v>
      </c>
      <c r="K15" s="46"/>
      <c r="L15" s="47">
        <v>0</v>
      </c>
      <c r="M15" s="48">
        <f>M16+M27+M33+M40+M47+M58+M67+M73+M75+M86+M97+M109+M120+M127+M135</f>
        <v>901881.89545409998</v>
      </c>
      <c r="N15" s="10" t="s">
        <v>50</v>
      </c>
      <c r="O15" s="16" t="s">
        <v>32</v>
      </c>
    </row>
    <row r="16" spans="5:15" x14ac:dyDescent="0.25">
      <c r="E16" s="49" t="s">
        <v>6</v>
      </c>
      <c r="F16" s="50"/>
      <c r="G16" s="51"/>
      <c r="H16" s="43" t="s">
        <v>33</v>
      </c>
      <c r="I16" s="44" t="s">
        <v>32</v>
      </c>
      <c r="J16" s="45">
        <v>0</v>
      </c>
      <c r="K16" s="52">
        <v>0</v>
      </c>
      <c r="L16" s="47">
        <v>0</v>
      </c>
      <c r="M16" s="53">
        <f>SUM(M17:M26)</f>
        <v>12586.6058402</v>
      </c>
      <c r="N16" s="10" t="s">
        <v>50</v>
      </c>
      <c r="O16" s="16" t="s">
        <v>32</v>
      </c>
    </row>
    <row r="17" spans="4:15" ht="22.5" x14ac:dyDescent="0.25">
      <c r="D17" s="128"/>
      <c r="E17" s="1" t="s">
        <v>420</v>
      </c>
      <c r="F17" s="2" t="s">
        <v>9</v>
      </c>
      <c r="G17" s="3" t="s">
        <v>11</v>
      </c>
      <c r="H17" s="8" t="s">
        <v>36</v>
      </c>
      <c r="I17" s="5" t="s">
        <v>37</v>
      </c>
      <c r="J17" s="6">
        <f>0.5*35</f>
        <v>17.5</v>
      </c>
      <c r="K17" s="7">
        <v>1.27</v>
      </c>
      <c r="L17" s="9">
        <f>K17*1.27</f>
        <v>1.6129</v>
      </c>
      <c r="M17" s="11">
        <f>L17*J17</f>
        <v>28.225750000000001</v>
      </c>
      <c r="N17" s="10" t="s">
        <v>50</v>
      </c>
      <c r="O17" s="16" t="s">
        <v>58</v>
      </c>
    </row>
    <row r="18" spans="4:15" ht="22.5" x14ac:dyDescent="0.25">
      <c r="D18" s="128"/>
      <c r="E18" s="1" t="s">
        <v>421</v>
      </c>
      <c r="F18" s="2" t="s">
        <v>9</v>
      </c>
      <c r="G18" s="4" t="s">
        <v>13</v>
      </c>
      <c r="H18" s="8" t="s">
        <v>38</v>
      </c>
      <c r="I18" s="5" t="s">
        <v>37</v>
      </c>
      <c r="J18" s="6">
        <f>0.05*10</f>
        <v>0.5</v>
      </c>
      <c r="K18" s="7">
        <v>12.1</v>
      </c>
      <c r="L18" s="9">
        <f>K18*1.27</f>
        <v>15.366999999999999</v>
      </c>
      <c r="M18" s="11">
        <f>L18*J18</f>
        <v>7.6834999999999996</v>
      </c>
      <c r="N18" s="10" t="s">
        <v>50</v>
      </c>
      <c r="O18" s="16" t="s">
        <v>58</v>
      </c>
    </row>
    <row r="19" spans="4:15" ht="22.5" x14ac:dyDescent="0.25">
      <c r="D19" s="128"/>
      <c r="E19" s="1" t="s">
        <v>10</v>
      </c>
      <c r="F19" s="2" t="s">
        <v>9</v>
      </c>
      <c r="G19" s="3" t="s">
        <v>15</v>
      </c>
      <c r="H19" s="8" t="s">
        <v>39</v>
      </c>
      <c r="I19" s="5" t="s">
        <v>37</v>
      </c>
      <c r="J19" s="6">
        <f>96*0.1</f>
        <v>9.6000000000000014</v>
      </c>
      <c r="K19" s="7">
        <v>0.65</v>
      </c>
      <c r="L19" s="9">
        <f t="shared" ref="L19:L25" si="0">K19*1.27</f>
        <v>0.82550000000000001</v>
      </c>
      <c r="M19" s="11">
        <f t="shared" ref="M19:M25" si="1">L19*J19</f>
        <v>7.9248000000000012</v>
      </c>
      <c r="N19" s="10" t="s">
        <v>50</v>
      </c>
      <c r="O19" s="16" t="s">
        <v>58</v>
      </c>
    </row>
    <row r="20" spans="4:15" ht="22.5" x14ac:dyDescent="0.25">
      <c r="D20" s="128"/>
      <c r="E20" s="1" t="s">
        <v>12</v>
      </c>
      <c r="F20" s="2" t="s">
        <v>9</v>
      </c>
      <c r="G20" s="4" t="s">
        <v>17</v>
      </c>
      <c r="H20" s="8" t="s">
        <v>40</v>
      </c>
      <c r="I20" s="5" t="s">
        <v>35</v>
      </c>
      <c r="J20" s="6">
        <f>0.1*68.04</f>
        <v>6.8040000000000012</v>
      </c>
      <c r="K20" s="7">
        <v>9.14</v>
      </c>
      <c r="L20" s="9">
        <f t="shared" si="0"/>
        <v>11.607800000000001</v>
      </c>
      <c r="M20" s="11">
        <f t="shared" si="1"/>
        <v>78.97947120000002</v>
      </c>
      <c r="N20" s="10" t="s">
        <v>50</v>
      </c>
      <c r="O20" s="16" t="s">
        <v>58</v>
      </c>
    </row>
    <row r="21" spans="4:15" ht="22.5" x14ac:dyDescent="0.25">
      <c r="E21" s="1" t="s">
        <v>14</v>
      </c>
      <c r="F21" s="2" t="s">
        <v>9</v>
      </c>
      <c r="G21" s="4" t="s">
        <v>398</v>
      </c>
      <c r="H21" s="8" t="s">
        <v>399</v>
      </c>
      <c r="I21" s="5" t="s">
        <v>35</v>
      </c>
      <c r="J21" s="6">
        <v>8.2899999999999991</v>
      </c>
      <c r="K21" s="7">
        <v>3.08</v>
      </c>
      <c r="L21" s="9">
        <f t="shared" si="0"/>
        <v>3.9116</v>
      </c>
      <c r="M21" s="11">
        <f t="shared" si="1"/>
        <v>32.427163999999998</v>
      </c>
      <c r="N21" s="10" t="s">
        <v>50</v>
      </c>
      <c r="O21" s="16" t="s">
        <v>58</v>
      </c>
    </row>
    <row r="22" spans="4:15" ht="22.5" x14ac:dyDescent="0.25">
      <c r="D22" s="128"/>
      <c r="E22" s="1" t="s">
        <v>16</v>
      </c>
      <c r="F22" s="2" t="s">
        <v>9</v>
      </c>
      <c r="G22" s="4" t="s">
        <v>20</v>
      </c>
      <c r="H22" s="8" t="s">
        <v>41</v>
      </c>
      <c r="I22" s="5" t="s">
        <v>5</v>
      </c>
      <c r="J22" s="6">
        <f>1179*0.4</f>
        <v>471.6</v>
      </c>
      <c r="K22" s="7">
        <v>0.66</v>
      </c>
      <c r="L22" s="9">
        <f t="shared" si="0"/>
        <v>0.83820000000000006</v>
      </c>
      <c r="M22" s="11">
        <f t="shared" si="1"/>
        <v>395.29512000000005</v>
      </c>
      <c r="N22" s="10" t="s">
        <v>50</v>
      </c>
      <c r="O22" s="16" t="s">
        <v>58</v>
      </c>
    </row>
    <row r="23" spans="4:15" x14ac:dyDescent="0.25">
      <c r="D23" s="128"/>
      <c r="E23" s="1" t="s">
        <v>18</v>
      </c>
      <c r="F23" s="2" t="s">
        <v>7</v>
      </c>
      <c r="G23" s="4" t="s">
        <v>22</v>
      </c>
      <c r="H23" s="8" t="s">
        <v>42</v>
      </c>
      <c r="I23" s="5" t="s">
        <v>43</v>
      </c>
      <c r="J23" s="6">
        <f>0.7*148.88</f>
        <v>104.21599999999999</v>
      </c>
      <c r="K23" s="7">
        <v>12.7</v>
      </c>
      <c r="L23" s="9">
        <f t="shared" si="0"/>
        <v>16.128999999999998</v>
      </c>
      <c r="M23" s="11">
        <f t="shared" si="1"/>
        <v>1680.8998639999998</v>
      </c>
      <c r="N23" s="10" t="s">
        <v>50</v>
      </c>
      <c r="O23" s="16" t="s">
        <v>58</v>
      </c>
    </row>
    <row r="24" spans="4:15" ht="22.5" x14ac:dyDescent="0.25">
      <c r="D24" s="128"/>
      <c r="E24" s="1" t="s">
        <v>19</v>
      </c>
      <c r="F24" s="2" t="s">
        <v>9</v>
      </c>
      <c r="G24" s="4" t="s">
        <v>24</v>
      </c>
      <c r="H24" s="8" t="s">
        <v>44</v>
      </c>
      <c r="I24" s="5" t="s">
        <v>35</v>
      </c>
      <c r="J24" s="6">
        <f>0.4*9.33</f>
        <v>3.7320000000000002</v>
      </c>
      <c r="K24" s="7">
        <v>3.4</v>
      </c>
      <c r="L24" s="9">
        <f t="shared" si="0"/>
        <v>4.3179999999999996</v>
      </c>
      <c r="M24" s="11">
        <f t="shared" si="1"/>
        <v>16.114775999999999</v>
      </c>
      <c r="N24" s="10" t="s">
        <v>50</v>
      </c>
      <c r="O24" s="16" t="s">
        <v>58</v>
      </c>
    </row>
    <row r="25" spans="4:15" ht="22.5" x14ac:dyDescent="0.25">
      <c r="D25" s="128"/>
      <c r="E25" s="1" t="s">
        <v>21</v>
      </c>
      <c r="F25" s="2" t="s">
        <v>9</v>
      </c>
      <c r="G25" s="4" t="s">
        <v>59</v>
      </c>
      <c r="H25" s="8" t="s">
        <v>61</v>
      </c>
      <c r="I25" s="5" t="s">
        <v>62</v>
      </c>
      <c r="J25" s="6">
        <f>0.1*23.65</f>
        <v>2.3649999999999998</v>
      </c>
      <c r="K25" s="7">
        <v>55.9</v>
      </c>
      <c r="L25" s="9">
        <f t="shared" si="0"/>
        <v>70.992999999999995</v>
      </c>
      <c r="M25" s="11">
        <f t="shared" si="1"/>
        <v>167.89844499999998</v>
      </c>
      <c r="N25" s="10" t="s">
        <v>50</v>
      </c>
      <c r="O25" s="16" t="s">
        <v>58</v>
      </c>
    </row>
    <row r="26" spans="4:15" ht="22.5" x14ac:dyDescent="0.25">
      <c r="D26" s="128"/>
      <c r="E26" s="1" t="s">
        <v>23</v>
      </c>
      <c r="F26" s="2" t="s">
        <v>7</v>
      </c>
      <c r="G26" s="4" t="s">
        <v>60</v>
      </c>
      <c r="H26" s="8" t="s">
        <v>63</v>
      </c>
      <c r="I26" s="5" t="s">
        <v>43</v>
      </c>
      <c r="J26" s="6">
        <f>0.9*1779.73</f>
        <v>1601.7570000000001</v>
      </c>
      <c r="K26" s="7">
        <v>5</v>
      </c>
      <c r="L26" s="9">
        <f>K26*1.27</f>
        <v>6.35</v>
      </c>
      <c r="M26" s="11">
        <f>L26*J26</f>
        <v>10171.156950000001</v>
      </c>
      <c r="N26" s="10" t="s">
        <v>50</v>
      </c>
      <c r="O26" s="16" t="s">
        <v>58</v>
      </c>
    </row>
    <row r="27" spans="4:15" x14ac:dyDescent="0.25">
      <c r="E27" s="54" t="s">
        <v>64</v>
      </c>
      <c r="F27" s="55"/>
      <c r="G27" s="56"/>
      <c r="H27" s="57" t="s">
        <v>77</v>
      </c>
      <c r="I27" s="58" t="s">
        <v>32</v>
      </c>
      <c r="J27" s="59">
        <v>0</v>
      </c>
      <c r="K27" s="60"/>
      <c r="L27" s="61">
        <v>0</v>
      </c>
      <c r="M27" s="62">
        <f>SUM(M28:M32)</f>
        <v>1558.6377768000002</v>
      </c>
      <c r="N27" s="10" t="s">
        <v>50</v>
      </c>
      <c r="O27" s="16" t="s">
        <v>58</v>
      </c>
    </row>
    <row r="28" spans="4:15" ht="22.5" x14ac:dyDescent="0.25">
      <c r="E28" s="1" t="s">
        <v>415</v>
      </c>
      <c r="F28" s="2" t="s">
        <v>9</v>
      </c>
      <c r="G28" s="4" t="s">
        <v>67</v>
      </c>
      <c r="H28" s="8" t="s">
        <v>78</v>
      </c>
      <c r="I28" s="5" t="s">
        <v>79</v>
      </c>
      <c r="J28" s="6">
        <f>0.1*41.33</f>
        <v>4.133</v>
      </c>
      <c r="K28" s="7">
        <v>18.52</v>
      </c>
      <c r="L28" s="9">
        <f>K28*1.27</f>
        <v>23.520399999999999</v>
      </c>
      <c r="M28" s="11">
        <f>L28*J28</f>
        <v>97.209813199999999</v>
      </c>
      <c r="N28" s="10" t="s">
        <v>50</v>
      </c>
      <c r="O28" s="16" t="s">
        <v>58</v>
      </c>
    </row>
    <row r="29" spans="4:15" ht="22.5" x14ac:dyDescent="0.25">
      <c r="E29" s="1" t="s">
        <v>416</v>
      </c>
      <c r="F29" s="2" t="s">
        <v>9</v>
      </c>
      <c r="G29" s="4" t="s">
        <v>69</v>
      </c>
      <c r="H29" s="8" t="s">
        <v>80</v>
      </c>
      <c r="I29" s="5" t="s">
        <v>79</v>
      </c>
      <c r="J29" s="6">
        <f>0.1*201.79</f>
        <v>20.179000000000002</v>
      </c>
      <c r="K29" s="7">
        <v>15.68</v>
      </c>
      <c r="L29" s="9">
        <f t="shared" ref="L29:L32" si="2">K29*1.27</f>
        <v>19.913599999999999</v>
      </c>
      <c r="M29" s="11">
        <f>L29*J29</f>
        <v>401.83653440000001</v>
      </c>
      <c r="N29" s="10" t="s">
        <v>50</v>
      </c>
      <c r="O29" s="16" t="s">
        <v>58</v>
      </c>
    </row>
    <row r="30" spans="4:15" ht="22.5" x14ac:dyDescent="0.25">
      <c r="E30" s="1" t="s">
        <v>417</v>
      </c>
      <c r="F30" s="2" t="s">
        <v>9</v>
      </c>
      <c r="G30" s="4" t="s">
        <v>71</v>
      </c>
      <c r="H30" s="8" t="s">
        <v>81</v>
      </c>
      <c r="I30" s="5" t="s">
        <v>79</v>
      </c>
      <c r="J30" s="6">
        <f>0.1*124.34</f>
        <v>12.434000000000001</v>
      </c>
      <c r="K30" s="7">
        <v>13.88</v>
      </c>
      <c r="L30" s="9">
        <f t="shared" si="2"/>
        <v>17.627600000000001</v>
      </c>
      <c r="M30" s="11">
        <f>L30*J30</f>
        <v>219.18157840000003</v>
      </c>
      <c r="N30" s="10" t="s">
        <v>50</v>
      </c>
      <c r="O30" s="16" t="s">
        <v>58</v>
      </c>
    </row>
    <row r="31" spans="4:15" ht="22.5" x14ac:dyDescent="0.25">
      <c r="E31" s="1" t="s">
        <v>418</v>
      </c>
      <c r="F31" s="2" t="s">
        <v>9</v>
      </c>
      <c r="G31" s="4" t="s">
        <v>73</v>
      </c>
      <c r="H31" s="8" t="s">
        <v>82</v>
      </c>
      <c r="I31" s="5" t="s">
        <v>35</v>
      </c>
      <c r="J31" s="6">
        <f>0.1*27.48</f>
        <v>2.7480000000000002</v>
      </c>
      <c r="K31" s="7">
        <v>85.62</v>
      </c>
      <c r="L31" s="9">
        <f t="shared" si="2"/>
        <v>108.73740000000001</v>
      </c>
      <c r="M31" s="11">
        <f>L31*J31</f>
        <v>298.81037520000007</v>
      </c>
      <c r="N31" s="10" t="s">
        <v>50</v>
      </c>
      <c r="O31" s="16" t="s">
        <v>58</v>
      </c>
    </row>
    <row r="32" spans="4:15" ht="22.5" x14ac:dyDescent="0.25">
      <c r="E32" s="1" t="s">
        <v>419</v>
      </c>
      <c r="F32" s="2" t="s">
        <v>75</v>
      </c>
      <c r="G32" s="4" t="s">
        <v>76</v>
      </c>
      <c r="H32" s="8" t="s">
        <v>83</v>
      </c>
      <c r="I32" s="5" t="s">
        <v>84</v>
      </c>
      <c r="J32" s="6">
        <f>0.1*8.92</f>
        <v>0.89200000000000002</v>
      </c>
      <c r="K32" s="7" t="s">
        <v>400</v>
      </c>
      <c r="L32" s="9">
        <f t="shared" si="2"/>
        <v>607.17430000000002</v>
      </c>
      <c r="M32" s="11">
        <f>L32*J32</f>
        <v>541.59947560000001</v>
      </c>
      <c r="N32" s="10" t="s">
        <v>50</v>
      </c>
      <c r="O32" s="16" t="s">
        <v>58</v>
      </c>
    </row>
    <row r="33" spans="5:15" x14ac:dyDescent="0.25">
      <c r="E33" s="49" t="s">
        <v>65</v>
      </c>
      <c r="F33" s="50"/>
      <c r="G33" s="63"/>
      <c r="H33" s="64" t="s">
        <v>91</v>
      </c>
      <c r="I33" s="44" t="s">
        <v>32</v>
      </c>
      <c r="J33" s="45">
        <v>0</v>
      </c>
      <c r="K33" s="52"/>
      <c r="L33" s="47">
        <v>0</v>
      </c>
      <c r="M33" s="53">
        <f>SUM(M34:M39)</f>
        <v>3948.6617749999996</v>
      </c>
      <c r="N33" s="10" t="s">
        <v>50</v>
      </c>
      <c r="O33" s="16" t="s">
        <v>58</v>
      </c>
    </row>
    <row r="34" spans="5:15" ht="33.75" x14ac:dyDescent="0.25">
      <c r="E34" s="1" t="s">
        <v>422</v>
      </c>
      <c r="F34" s="2" t="s">
        <v>9</v>
      </c>
      <c r="G34" s="4" t="s">
        <v>87</v>
      </c>
      <c r="H34" s="8" t="s">
        <v>92</v>
      </c>
      <c r="I34" s="5" t="s">
        <v>35</v>
      </c>
      <c r="J34" s="6">
        <f>0.1*46.8</f>
        <v>4.68</v>
      </c>
      <c r="K34" s="7">
        <v>55.63</v>
      </c>
      <c r="L34" s="9">
        <f>K34*1.27</f>
        <v>70.650100000000009</v>
      </c>
      <c r="M34" s="11">
        <f>L34*J34</f>
        <v>330.64246800000001</v>
      </c>
      <c r="N34" s="10" t="s">
        <v>50</v>
      </c>
      <c r="O34" s="16" t="s">
        <v>58</v>
      </c>
    </row>
    <row r="35" spans="5:15" ht="33.75" x14ac:dyDescent="0.25">
      <c r="E35" s="1" t="s">
        <v>66</v>
      </c>
      <c r="F35" s="2" t="s">
        <v>9</v>
      </c>
      <c r="G35" s="4" t="s">
        <v>89</v>
      </c>
      <c r="H35" s="8" t="s">
        <v>93</v>
      </c>
      <c r="I35" s="5" t="s">
        <v>35</v>
      </c>
      <c r="J35" s="6">
        <f>0.1*47.3</f>
        <v>4.7299999999999995</v>
      </c>
      <c r="K35" s="7">
        <v>111.13</v>
      </c>
      <c r="L35" s="9">
        <f t="shared" ref="L35:L39" si="3">K35*1.27</f>
        <v>141.13509999999999</v>
      </c>
      <c r="M35" s="11">
        <f>L35*J35</f>
        <v>667.5690229999999</v>
      </c>
      <c r="N35" s="10" t="s">
        <v>50</v>
      </c>
      <c r="O35" s="16" t="s">
        <v>58</v>
      </c>
    </row>
    <row r="36" spans="5:15" ht="22.5" x14ac:dyDescent="0.25">
      <c r="E36" s="1" t="s">
        <v>68</v>
      </c>
      <c r="F36" s="2" t="s">
        <v>9</v>
      </c>
      <c r="G36" s="4" t="s">
        <v>401</v>
      </c>
      <c r="H36" s="8" t="s">
        <v>402</v>
      </c>
      <c r="I36" s="5" t="s">
        <v>79</v>
      </c>
      <c r="J36" s="6">
        <f>0.1*17.16</f>
        <v>1.7160000000000002</v>
      </c>
      <c r="K36" s="7">
        <v>14.96</v>
      </c>
      <c r="L36" s="9">
        <f t="shared" si="3"/>
        <v>18.999200000000002</v>
      </c>
      <c r="M36" s="11">
        <f t="shared" ref="M36:M39" si="4">L36*J36</f>
        <v>32.602627200000008</v>
      </c>
      <c r="N36" s="10" t="s">
        <v>50</v>
      </c>
      <c r="O36" s="16" t="s">
        <v>58</v>
      </c>
    </row>
    <row r="37" spans="5:15" ht="22.5" x14ac:dyDescent="0.25">
      <c r="E37" s="1" t="s">
        <v>70</v>
      </c>
      <c r="F37" s="2" t="s">
        <v>9</v>
      </c>
      <c r="G37" s="4" t="s">
        <v>403</v>
      </c>
      <c r="H37" s="8" t="s">
        <v>404</v>
      </c>
      <c r="I37" s="5" t="s">
        <v>79</v>
      </c>
      <c r="J37" s="6">
        <f>0.1*579.61</f>
        <v>57.961000000000006</v>
      </c>
      <c r="K37" s="7">
        <v>12.04</v>
      </c>
      <c r="L37" s="9">
        <f t="shared" si="3"/>
        <v>15.290799999999999</v>
      </c>
      <c r="M37" s="11">
        <f t="shared" si="4"/>
        <v>886.27005880000002</v>
      </c>
      <c r="N37" s="10" t="s">
        <v>50</v>
      </c>
      <c r="O37" s="16" t="s">
        <v>58</v>
      </c>
    </row>
    <row r="38" spans="5:15" ht="22.5" x14ac:dyDescent="0.25">
      <c r="E38" s="1" t="s">
        <v>72</v>
      </c>
      <c r="F38" s="2" t="s">
        <v>75</v>
      </c>
      <c r="G38" s="4" t="s">
        <v>76</v>
      </c>
      <c r="H38" s="8" t="s">
        <v>83</v>
      </c>
      <c r="I38" s="5" t="s">
        <v>84</v>
      </c>
      <c r="J38" s="6">
        <f>0.1*8.6</f>
        <v>0.86</v>
      </c>
      <c r="K38" s="7">
        <v>478.09</v>
      </c>
      <c r="L38" s="9">
        <f t="shared" si="3"/>
        <v>607.17430000000002</v>
      </c>
      <c r="M38" s="11">
        <f t="shared" si="4"/>
        <v>522.16989799999999</v>
      </c>
      <c r="N38" s="10" t="s">
        <v>50</v>
      </c>
      <c r="O38" s="16" t="s">
        <v>58</v>
      </c>
    </row>
    <row r="39" spans="5:15" ht="22.5" x14ac:dyDescent="0.25">
      <c r="E39" s="1" t="s">
        <v>74</v>
      </c>
      <c r="F39" s="2" t="s">
        <v>9</v>
      </c>
      <c r="G39" s="4" t="s">
        <v>96</v>
      </c>
      <c r="H39" s="8" t="s">
        <v>97</v>
      </c>
      <c r="I39" s="5" t="s">
        <v>35</v>
      </c>
      <c r="J39" s="6">
        <v>27.48</v>
      </c>
      <c r="K39" s="7">
        <v>43.25</v>
      </c>
      <c r="L39" s="9">
        <f t="shared" si="3"/>
        <v>54.927500000000002</v>
      </c>
      <c r="M39" s="11">
        <f t="shared" si="4"/>
        <v>1509.4077</v>
      </c>
      <c r="N39" s="10" t="s">
        <v>50</v>
      </c>
      <c r="O39" s="16" t="s">
        <v>58</v>
      </c>
    </row>
    <row r="40" spans="5:15" x14ac:dyDescent="0.25">
      <c r="E40" s="49" t="s">
        <v>85</v>
      </c>
      <c r="F40" s="50"/>
      <c r="G40" s="63"/>
      <c r="H40" s="64" t="s">
        <v>110</v>
      </c>
      <c r="I40" s="44" t="s">
        <v>32</v>
      </c>
      <c r="J40" s="45">
        <v>0</v>
      </c>
      <c r="K40" s="52"/>
      <c r="L40" s="47">
        <v>0</v>
      </c>
      <c r="M40" s="53">
        <f>SUM(M41:M46)</f>
        <v>20713.1234835</v>
      </c>
      <c r="N40" s="10" t="s">
        <v>50</v>
      </c>
      <c r="O40" s="16" t="s">
        <v>58</v>
      </c>
    </row>
    <row r="41" spans="5:15" ht="33.75" x14ac:dyDescent="0.25">
      <c r="E41" s="1" t="s">
        <v>86</v>
      </c>
      <c r="F41" s="2" t="s">
        <v>9</v>
      </c>
      <c r="G41" s="4" t="s">
        <v>405</v>
      </c>
      <c r="H41" s="8" t="s">
        <v>406</v>
      </c>
      <c r="I41" s="5" t="s">
        <v>35</v>
      </c>
      <c r="J41" s="6">
        <f>0.1*170.25</f>
        <v>17.025000000000002</v>
      </c>
      <c r="K41" s="7">
        <v>118.33</v>
      </c>
      <c r="L41" s="9">
        <f>K41*1.27</f>
        <v>150.2791</v>
      </c>
      <c r="M41" s="11">
        <f>L41*J41</f>
        <v>2558.5016775000004</v>
      </c>
      <c r="N41" s="10" t="s">
        <v>50</v>
      </c>
      <c r="O41" s="16" t="s">
        <v>58</v>
      </c>
    </row>
    <row r="42" spans="5:15" ht="22.5" x14ac:dyDescent="0.25">
      <c r="E42" s="1" t="s">
        <v>88</v>
      </c>
      <c r="F42" s="2" t="s">
        <v>9</v>
      </c>
      <c r="G42" s="4" t="s">
        <v>101</v>
      </c>
      <c r="H42" s="8" t="s">
        <v>111</v>
      </c>
      <c r="I42" s="5" t="s">
        <v>5</v>
      </c>
      <c r="J42" s="6">
        <f>0.4*24</f>
        <v>9.6000000000000014</v>
      </c>
      <c r="K42" s="7">
        <v>116.52</v>
      </c>
      <c r="L42" s="9">
        <f t="shared" ref="L42:L46" si="5">K42*1.27</f>
        <v>147.9804</v>
      </c>
      <c r="M42" s="11">
        <f t="shared" ref="M42:M46" si="6">L42*J42</f>
        <v>1420.6118400000003</v>
      </c>
      <c r="N42" s="10" t="s">
        <v>50</v>
      </c>
      <c r="O42" s="16" t="s">
        <v>58</v>
      </c>
    </row>
    <row r="43" spans="5:15" ht="22.5" x14ac:dyDescent="0.25">
      <c r="E43" s="1" t="s">
        <v>90</v>
      </c>
      <c r="F43" s="2" t="s">
        <v>9</v>
      </c>
      <c r="G43" s="4" t="s">
        <v>103</v>
      </c>
      <c r="H43" s="8" t="s">
        <v>112</v>
      </c>
      <c r="I43" s="5" t="s">
        <v>5</v>
      </c>
      <c r="J43" s="6">
        <f>0.2*7.5</f>
        <v>1.5</v>
      </c>
      <c r="K43" s="7">
        <v>93.79</v>
      </c>
      <c r="L43" s="9">
        <f t="shared" si="5"/>
        <v>119.11330000000001</v>
      </c>
      <c r="M43" s="11">
        <f t="shared" si="6"/>
        <v>178.66995000000003</v>
      </c>
      <c r="N43" s="10" t="s">
        <v>50</v>
      </c>
      <c r="O43" s="16" t="s">
        <v>58</v>
      </c>
    </row>
    <row r="44" spans="5:15" ht="22.5" x14ac:dyDescent="0.25">
      <c r="E44" s="1" t="s">
        <v>423</v>
      </c>
      <c r="F44" s="2" t="s">
        <v>9</v>
      </c>
      <c r="G44" s="4" t="s">
        <v>105</v>
      </c>
      <c r="H44" s="8" t="s">
        <v>113</v>
      </c>
      <c r="I44" s="5" t="s">
        <v>5</v>
      </c>
      <c r="J44" s="6">
        <f>0.4*15</f>
        <v>6</v>
      </c>
      <c r="K44" s="7">
        <v>111.78</v>
      </c>
      <c r="L44" s="9">
        <f t="shared" si="5"/>
        <v>141.9606</v>
      </c>
      <c r="M44" s="11">
        <f t="shared" si="6"/>
        <v>851.7636</v>
      </c>
      <c r="N44" s="10" t="s">
        <v>50</v>
      </c>
      <c r="O44" s="16" t="s">
        <v>58</v>
      </c>
    </row>
    <row r="45" spans="5:15" ht="33.75" x14ac:dyDescent="0.25">
      <c r="E45" s="1" t="s">
        <v>94</v>
      </c>
      <c r="F45" s="2" t="s">
        <v>9</v>
      </c>
      <c r="G45" s="4" t="s">
        <v>107</v>
      </c>
      <c r="H45" s="8" t="s">
        <v>114</v>
      </c>
      <c r="I45" s="5" t="s">
        <v>35</v>
      </c>
      <c r="J45" s="6">
        <v>42.12</v>
      </c>
      <c r="K45" s="7">
        <v>117.84</v>
      </c>
      <c r="L45" s="9">
        <f t="shared" si="5"/>
        <v>149.6568</v>
      </c>
      <c r="M45" s="11">
        <f t="shared" si="6"/>
        <v>6303.5444159999997</v>
      </c>
      <c r="N45" s="10" t="s">
        <v>50</v>
      </c>
      <c r="O45" s="16" t="s">
        <v>58</v>
      </c>
    </row>
    <row r="46" spans="5:15" ht="22.5" x14ac:dyDescent="0.25">
      <c r="E46" s="1" t="s">
        <v>95</v>
      </c>
      <c r="F46" s="2" t="s">
        <v>7</v>
      </c>
      <c r="G46" s="4" t="s">
        <v>109</v>
      </c>
      <c r="H46" s="8" t="s">
        <v>115</v>
      </c>
      <c r="I46" s="5" t="s">
        <v>43</v>
      </c>
      <c r="J46" s="6">
        <v>46.26</v>
      </c>
      <c r="K46" s="7">
        <v>160</v>
      </c>
      <c r="L46" s="9">
        <f t="shared" si="5"/>
        <v>203.2</v>
      </c>
      <c r="M46" s="11">
        <f t="shared" si="6"/>
        <v>9400.0319999999992</v>
      </c>
      <c r="N46" s="10" t="s">
        <v>50</v>
      </c>
      <c r="O46" s="16" t="s">
        <v>58</v>
      </c>
    </row>
    <row r="47" spans="5:15" x14ac:dyDescent="0.25">
      <c r="E47" s="49" t="s">
        <v>98</v>
      </c>
      <c r="F47" s="50"/>
      <c r="G47" s="63"/>
      <c r="H47" s="64" t="s">
        <v>135</v>
      </c>
      <c r="I47" s="44" t="s">
        <v>32</v>
      </c>
      <c r="J47" s="45">
        <v>0</v>
      </c>
      <c r="K47" s="52"/>
      <c r="L47" s="47">
        <v>0</v>
      </c>
      <c r="M47" s="53">
        <f>SUM(M48:M57)</f>
        <v>241185.916027</v>
      </c>
      <c r="N47" s="10" t="s">
        <v>50</v>
      </c>
      <c r="O47" s="16" t="s">
        <v>58</v>
      </c>
    </row>
    <row r="48" spans="5:15" ht="45" x14ac:dyDescent="0.25">
      <c r="E48" s="1" t="s">
        <v>99</v>
      </c>
      <c r="F48" s="2" t="s">
        <v>9</v>
      </c>
      <c r="G48" s="4" t="s">
        <v>118</v>
      </c>
      <c r="H48" s="8" t="s">
        <v>136</v>
      </c>
      <c r="I48" s="5" t="s">
        <v>79</v>
      </c>
      <c r="J48" s="6">
        <v>4960.24</v>
      </c>
      <c r="K48" s="7">
        <v>15.28</v>
      </c>
      <c r="L48" s="9">
        <f>K48*1.27</f>
        <v>19.4056</v>
      </c>
      <c r="M48" s="11">
        <f>L48*J48</f>
        <v>96256.43334399999</v>
      </c>
      <c r="N48" s="10" t="s">
        <v>50</v>
      </c>
      <c r="O48" s="16" t="s">
        <v>58</v>
      </c>
    </row>
    <row r="49" spans="5:15" ht="33.75" x14ac:dyDescent="0.25">
      <c r="E49" s="1" t="s">
        <v>100</v>
      </c>
      <c r="F49" s="2" t="s">
        <v>9</v>
      </c>
      <c r="G49" s="4" t="s">
        <v>120</v>
      </c>
      <c r="H49" s="8" t="s">
        <v>137</v>
      </c>
      <c r="I49" s="5" t="s">
        <v>35</v>
      </c>
      <c r="J49" s="6">
        <v>296.10000000000002</v>
      </c>
      <c r="K49" s="7">
        <v>57.96</v>
      </c>
      <c r="L49" s="9">
        <f t="shared" ref="L49:L57" si="7">K49*1.27</f>
        <v>73.609200000000001</v>
      </c>
      <c r="M49" s="11">
        <f t="shared" ref="M49:M57" si="8">L49*J49</f>
        <v>21795.684120000002</v>
      </c>
      <c r="N49" s="10" t="s">
        <v>50</v>
      </c>
      <c r="O49" s="16" t="s">
        <v>58</v>
      </c>
    </row>
    <row r="50" spans="5:15" ht="22.5" x14ac:dyDescent="0.25">
      <c r="E50" s="1" t="s">
        <v>102</v>
      </c>
      <c r="F50" s="2" t="s">
        <v>9</v>
      </c>
      <c r="G50" s="4" t="s">
        <v>122</v>
      </c>
      <c r="H50" s="8" t="s">
        <v>407</v>
      </c>
      <c r="I50" s="5" t="s">
        <v>35</v>
      </c>
      <c r="J50" s="6">
        <v>224.01</v>
      </c>
      <c r="K50" s="7">
        <v>81.709999999999994</v>
      </c>
      <c r="L50" s="9">
        <f t="shared" si="7"/>
        <v>103.7717</v>
      </c>
      <c r="M50" s="11">
        <f t="shared" si="8"/>
        <v>23245.898516999998</v>
      </c>
      <c r="N50" s="10" t="s">
        <v>50</v>
      </c>
      <c r="O50" s="16" t="s">
        <v>58</v>
      </c>
    </row>
    <row r="51" spans="5:15" ht="22.5" x14ac:dyDescent="0.25">
      <c r="E51" s="1" t="s">
        <v>104</v>
      </c>
      <c r="F51" s="2" t="s">
        <v>9</v>
      </c>
      <c r="G51" s="4" t="s">
        <v>124</v>
      </c>
      <c r="H51" s="8" t="s">
        <v>408</v>
      </c>
      <c r="I51" s="5" t="s">
        <v>35</v>
      </c>
      <c r="J51" s="6">
        <v>72.09</v>
      </c>
      <c r="K51" s="7">
        <v>242.02</v>
      </c>
      <c r="L51" s="9">
        <f t="shared" si="7"/>
        <v>307.36540000000002</v>
      </c>
      <c r="M51" s="11">
        <f t="shared" si="8"/>
        <v>22157.971686000004</v>
      </c>
      <c r="N51" s="10" t="s">
        <v>50</v>
      </c>
      <c r="O51" s="16" t="s">
        <v>58</v>
      </c>
    </row>
    <row r="52" spans="5:15" ht="22.5" x14ac:dyDescent="0.25">
      <c r="E52" s="1" t="s">
        <v>106</v>
      </c>
      <c r="F52" s="2" t="s">
        <v>9</v>
      </c>
      <c r="G52" s="4" t="s">
        <v>126</v>
      </c>
      <c r="H52" s="8" t="s">
        <v>138</v>
      </c>
      <c r="I52" s="5" t="s">
        <v>5</v>
      </c>
      <c r="J52" s="6">
        <v>19.55</v>
      </c>
      <c r="K52" s="7">
        <v>100</v>
      </c>
      <c r="L52" s="9">
        <f t="shared" si="7"/>
        <v>127</v>
      </c>
      <c r="M52" s="11">
        <f t="shared" si="8"/>
        <v>2482.85</v>
      </c>
      <c r="N52" s="10" t="s">
        <v>50</v>
      </c>
      <c r="O52" s="16" t="s">
        <v>58</v>
      </c>
    </row>
    <row r="53" spans="5:15" ht="22.5" x14ac:dyDescent="0.25">
      <c r="E53" s="1" t="s">
        <v>108</v>
      </c>
      <c r="F53" s="2" t="s">
        <v>75</v>
      </c>
      <c r="G53" s="4" t="s">
        <v>128</v>
      </c>
      <c r="H53" s="8" t="s">
        <v>139</v>
      </c>
      <c r="I53" s="5" t="s">
        <v>140</v>
      </c>
      <c r="J53" s="6">
        <v>3.65</v>
      </c>
      <c r="K53" s="7">
        <v>44.9</v>
      </c>
      <c r="L53" s="9">
        <f t="shared" si="7"/>
        <v>57.022999999999996</v>
      </c>
      <c r="M53" s="11">
        <f t="shared" si="8"/>
        <v>208.13394999999997</v>
      </c>
      <c r="N53" s="10" t="s">
        <v>50</v>
      </c>
      <c r="O53" s="16" t="s">
        <v>58</v>
      </c>
    </row>
    <row r="54" spans="5:15" ht="22.5" x14ac:dyDescent="0.25">
      <c r="E54" s="1" t="s">
        <v>424</v>
      </c>
      <c r="F54" s="2" t="s">
        <v>9</v>
      </c>
      <c r="G54" s="4" t="s">
        <v>130</v>
      </c>
      <c r="H54" s="8" t="s">
        <v>141</v>
      </c>
      <c r="I54" s="5" t="s">
        <v>5</v>
      </c>
      <c r="J54" s="6">
        <v>75.8</v>
      </c>
      <c r="K54" s="7">
        <v>205.78</v>
      </c>
      <c r="L54" s="9">
        <f t="shared" si="7"/>
        <v>261.34059999999999</v>
      </c>
      <c r="M54" s="11">
        <f t="shared" si="8"/>
        <v>19809.617479999997</v>
      </c>
      <c r="N54" s="10" t="s">
        <v>50</v>
      </c>
      <c r="O54" s="16" t="s">
        <v>58</v>
      </c>
    </row>
    <row r="55" spans="5:15" ht="22.5" x14ac:dyDescent="0.25">
      <c r="E55" s="1" t="s">
        <v>425</v>
      </c>
      <c r="F55" s="2" t="s">
        <v>9</v>
      </c>
      <c r="G55" s="4" t="s">
        <v>132</v>
      </c>
      <c r="H55" s="8" t="s">
        <v>142</v>
      </c>
      <c r="I55" s="5" t="s">
        <v>5</v>
      </c>
      <c r="J55" s="6">
        <v>68.8</v>
      </c>
      <c r="K55" s="7">
        <v>61.69</v>
      </c>
      <c r="L55" s="9">
        <f t="shared" si="7"/>
        <v>78.346299999999999</v>
      </c>
      <c r="M55" s="11">
        <f t="shared" si="8"/>
        <v>5390.2254400000002</v>
      </c>
      <c r="N55" s="10" t="s">
        <v>50</v>
      </c>
      <c r="O55" s="16" t="s">
        <v>58</v>
      </c>
    </row>
    <row r="56" spans="5:15" ht="22.5" x14ac:dyDescent="0.25">
      <c r="E56" s="1" t="s">
        <v>426</v>
      </c>
      <c r="F56" s="2" t="s">
        <v>9</v>
      </c>
      <c r="G56" s="4" t="s">
        <v>133</v>
      </c>
      <c r="H56" s="8" t="s">
        <v>143</v>
      </c>
      <c r="I56" s="5" t="s">
        <v>5</v>
      </c>
      <c r="J56" s="6">
        <v>52.7</v>
      </c>
      <c r="K56" s="7">
        <v>69.61</v>
      </c>
      <c r="L56" s="9">
        <f t="shared" si="7"/>
        <v>88.404700000000005</v>
      </c>
      <c r="M56" s="11">
        <f t="shared" si="8"/>
        <v>4658.9276900000004</v>
      </c>
      <c r="N56" s="10" t="s">
        <v>50</v>
      </c>
      <c r="O56" s="16" t="s">
        <v>58</v>
      </c>
    </row>
    <row r="57" spans="5:15" ht="45" x14ac:dyDescent="0.25">
      <c r="E57" s="1" t="s">
        <v>427</v>
      </c>
      <c r="F57" s="2" t="s">
        <v>134</v>
      </c>
      <c r="G57" s="4" t="s">
        <v>8</v>
      </c>
      <c r="H57" s="8" t="s">
        <v>144</v>
      </c>
      <c r="I57" s="5" t="s">
        <v>145</v>
      </c>
      <c r="J57" s="6">
        <v>1</v>
      </c>
      <c r="K57" s="7">
        <v>35574.94</v>
      </c>
      <c r="L57" s="9">
        <f t="shared" si="7"/>
        <v>45180.173800000004</v>
      </c>
      <c r="M57" s="11">
        <f t="shared" si="8"/>
        <v>45180.173800000004</v>
      </c>
      <c r="N57" s="10" t="s">
        <v>53</v>
      </c>
      <c r="O57" s="16" t="s">
        <v>58</v>
      </c>
    </row>
    <row r="58" spans="5:15" x14ac:dyDescent="0.25">
      <c r="E58" s="49" t="s">
        <v>116</v>
      </c>
      <c r="F58" s="50"/>
      <c r="G58" s="63"/>
      <c r="H58" s="64" t="s">
        <v>158</v>
      </c>
      <c r="I58" s="44" t="s">
        <v>32</v>
      </c>
      <c r="J58" s="45">
        <v>0</v>
      </c>
      <c r="K58" s="52"/>
      <c r="L58" s="47">
        <v>0</v>
      </c>
      <c r="M58" s="53">
        <f>SUM(M59:M66)</f>
        <v>126152.29822830002</v>
      </c>
      <c r="N58" s="10" t="s">
        <v>50</v>
      </c>
      <c r="O58" s="16" t="s">
        <v>58</v>
      </c>
    </row>
    <row r="59" spans="5:15" ht="22.5" x14ac:dyDescent="0.25">
      <c r="E59" s="1" t="s">
        <v>117</v>
      </c>
      <c r="F59" s="2" t="s">
        <v>9</v>
      </c>
      <c r="G59" s="4" t="s">
        <v>409</v>
      </c>
      <c r="H59" s="8" t="s">
        <v>410</v>
      </c>
      <c r="I59" s="5" t="s">
        <v>62</v>
      </c>
      <c r="J59" s="6">
        <f>0.95*2.92</f>
        <v>2.774</v>
      </c>
      <c r="K59" s="7">
        <v>104.64</v>
      </c>
      <c r="L59" s="9">
        <f>K59*1.27</f>
        <v>132.89279999999999</v>
      </c>
      <c r="M59" s="11">
        <f>L59*J59</f>
        <v>368.6446272</v>
      </c>
      <c r="N59" s="10" t="s">
        <v>50</v>
      </c>
      <c r="O59" s="16" t="s">
        <v>58</v>
      </c>
    </row>
    <row r="60" spans="5:15" ht="33.75" x14ac:dyDescent="0.25">
      <c r="E60" s="1" t="s">
        <v>119</v>
      </c>
      <c r="F60" s="2" t="s">
        <v>9</v>
      </c>
      <c r="G60" s="4" t="s">
        <v>149</v>
      </c>
      <c r="H60" s="8" t="s">
        <v>159</v>
      </c>
      <c r="I60" s="5" t="s">
        <v>35</v>
      </c>
      <c r="J60" s="6">
        <v>512.82000000000005</v>
      </c>
      <c r="K60" s="7" t="s">
        <v>411</v>
      </c>
      <c r="L60" s="9">
        <f t="shared" ref="L60:L66" si="9">K60*1.27</f>
        <v>186.79160000000002</v>
      </c>
      <c r="M60" s="11">
        <f t="shared" ref="M60:M66" si="10">L60*J60</f>
        <v>95790.468312000012</v>
      </c>
      <c r="N60" s="10" t="s">
        <v>50</v>
      </c>
      <c r="O60" s="16" t="s">
        <v>58</v>
      </c>
    </row>
    <row r="61" spans="5:15" ht="22.5" x14ac:dyDescent="0.25">
      <c r="E61" s="1" t="s">
        <v>121</v>
      </c>
      <c r="F61" s="2" t="s">
        <v>134</v>
      </c>
      <c r="G61" s="4" t="s">
        <v>109</v>
      </c>
      <c r="H61" s="8" t="s">
        <v>160</v>
      </c>
      <c r="I61" s="5" t="s">
        <v>5</v>
      </c>
      <c r="J61" s="6">
        <v>332.1</v>
      </c>
      <c r="K61" s="7">
        <v>18.8</v>
      </c>
      <c r="L61" s="9">
        <f t="shared" si="9"/>
        <v>23.876000000000001</v>
      </c>
      <c r="M61" s="11">
        <f t="shared" si="10"/>
        <v>7929.2196000000013</v>
      </c>
      <c r="N61" s="10" t="s">
        <v>50</v>
      </c>
      <c r="O61" s="16" t="s">
        <v>58</v>
      </c>
    </row>
    <row r="62" spans="5:15" ht="33.75" x14ac:dyDescent="0.25">
      <c r="E62" s="1" t="s">
        <v>123</v>
      </c>
      <c r="F62" s="2" t="s">
        <v>9</v>
      </c>
      <c r="G62" s="4" t="s">
        <v>152</v>
      </c>
      <c r="H62" s="8" t="s">
        <v>412</v>
      </c>
      <c r="I62" s="5" t="s">
        <v>35</v>
      </c>
      <c r="J62" s="6">
        <f>0.95*102.29</f>
        <v>97.1755</v>
      </c>
      <c r="K62" s="7">
        <v>82.46</v>
      </c>
      <c r="L62" s="9">
        <f t="shared" si="9"/>
        <v>104.7242</v>
      </c>
      <c r="M62" s="11">
        <f t="shared" si="10"/>
        <v>10176.6264971</v>
      </c>
      <c r="N62" s="10" t="s">
        <v>50</v>
      </c>
      <c r="O62" s="16" t="s">
        <v>58</v>
      </c>
    </row>
    <row r="63" spans="5:15" ht="56.25" x14ac:dyDescent="0.25">
      <c r="E63" s="1" t="s">
        <v>125</v>
      </c>
      <c r="F63" s="2" t="s">
        <v>9</v>
      </c>
      <c r="G63" s="4" t="s">
        <v>154</v>
      </c>
      <c r="H63" s="8" t="s">
        <v>161</v>
      </c>
      <c r="I63" s="5" t="s">
        <v>35</v>
      </c>
      <c r="J63" s="6">
        <v>102.29</v>
      </c>
      <c r="K63" s="7">
        <v>40.049999999999997</v>
      </c>
      <c r="L63" s="9">
        <f t="shared" si="9"/>
        <v>50.863499999999995</v>
      </c>
      <c r="M63" s="11">
        <f t="shared" si="10"/>
        <v>5202.8274149999997</v>
      </c>
      <c r="N63" s="10" t="s">
        <v>50</v>
      </c>
      <c r="O63" s="16" t="s">
        <v>58</v>
      </c>
    </row>
    <row r="64" spans="5:15" ht="33.75" x14ac:dyDescent="0.25">
      <c r="E64" s="1" t="s">
        <v>127</v>
      </c>
      <c r="F64" s="2" t="s">
        <v>9</v>
      </c>
      <c r="G64" s="4" t="s">
        <v>155</v>
      </c>
      <c r="H64" s="8" t="s">
        <v>162</v>
      </c>
      <c r="I64" s="5" t="s">
        <v>35</v>
      </c>
      <c r="J64" s="6">
        <v>86.18</v>
      </c>
      <c r="K64" s="7">
        <v>48.22</v>
      </c>
      <c r="L64" s="9">
        <f t="shared" si="9"/>
        <v>61.239399999999996</v>
      </c>
      <c r="M64" s="11">
        <f t="shared" si="10"/>
        <v>5277.611492</v>
      </c>
      <c r="N64" s="10" t="s">
        <v>50</v>
      </c>
      <c r="O64" s="16" t="s">
        <v>58</v>
      </c>
    </row>
    <row r="65" spans="5:15" ht="22.5" x14ac:dyDescent="0.25">
      <c r="E65" s="1" t="s">
        <v>129</v>
      </c>
      <c r="F65" s="2" t="s">
        <v>9</v>
      </c>
      <c r="G65" s="4" t="s">
        <v>156</v>
      </c>
      <c r="H65" s="8" t="s">
        <v>163</v>
      </c>
      <c r="I65" s="5" t="s">
        <v>35</v>
      </c>
      <c r="J65" s="6">
        <v>43.32</v>
      </c>
      <c r="K65" s="7">
        <v>18.79</v>
      </c>
      <c r="L65" s="9">
        <f t="shared" si="9"/>
        <v>23.863299999999999</v>
      </c>
      <c r="M65" s="11">
        <f t="shared" si="10"/>
        <v>1033.7581559999999</v>
      </c>
      <c r="N65" s="10" t="s">
        <v>50</v>
      </c>
      <c r="O65" s="16" t="s">
        <v>58</v>
      </c>
    </row>
    <row r="66" spans="5:15" ht="22.5" x14ac:dyDescent="0.25">
      <c r="E66" s="1" t="s">
        <v>131</v>
      </c>
      <c r="F66" s="2" t="s">
        <v>9</v>
      </c>
      <c r="G66" s="4" t="s">
        <v>157</v>
      </c>
      <c r="H66" s="8" t="s">
        <v>164</v>
      </c>
      <c r="I66" s="5" t="s">
        <v>62</v>
      </c>
      <c r="J66" s="6">
        <v>4.3099999999999996</v>
      </c>
      <c r="K66" s="7">
        <v>68.17</v>
      </c>
      <c r="L66" s="9">
        <f t="shared" si="9"/>
        <v>86.575900000000004</v>
      </c>
      <c r="M66" s="11">
        <f t="shared" si="10"/>
        <v>373.14212900000001</v>
      </c>
      <c r="N66" s="10" t="s">
        <v>50</v>
      </c>
      <c r="O66" s="16" t="s">
        <v>58</v>
      </c>
    </row>
    <row r="67" spans="5:15" x14ac:dyDescent="0.25">
      <c r="E67" s="49" t="s">
        <v>146</v>
      </c>
      <c r="F67" s="50"/>
      <c r="G67" s="63"/>
      <c r="H67" s="64" t="s">
        <v>169</v>
      </c>
      <c r="I67" s="44" t="s">
        <v>32</v>
      </c>
      <c r="J67" s="45">
        <v>0</v>
      </c>
      <c r="K67" s="52"/>
      <c r="L67" s="47">
        <v>0</v>
      </c>
      <c r="M67" s="53">
        <f>SUM(M68:M72)</f>
        <v>67281.774885000006</v>
      </c>
      <c r="N67" s="10" t="s">
        <v>50</v>
      </c>
      <c r="O67" s="16" t="s">
        <v>58</v>
      </c>
    </row>
    <row r="68" spans="5:15" ht="33.75" x14ac:dyDescent="0.25">
      <c r="E68" s="1" t="s">
        <v>147</v>
      </c>
      <c r="F68" s="2" t="s">
        <v>9</v>
      </c>
      <c r="G68" s="4" t="s">
        <v>167</v>
      </c>
      <c r="H68" s="8" t="s">
        <v>170</v>
      </c>
      <c r="I68" s="5" t="s">
        <v>35</v>
      </c>
      <c r="J68" s="6">
        <f>0.1*92.75</f>
        <v>9.2750000000000004</v>
      </c>
      <c r="K68" s="7">
        <v>6.69</v>
      </c>
      <c r="L68" s="9">
        <f>K68*1.27</f>
        <v>8.4962999999999997</v>
      </c>
      <c r="M68" s="11">
        <f>L68*J68</f>
        <v>78.803182500000005</v>
      </c>
      <c r="N68" s="10" t="s">
        <v>50</v>
      </c>
      <c r="O68" s="16" t="s">
        <v>58</v>
      </c>
    </row>
    <row r="69" spans="5:15" ht="45" x14ac:dyDescent="0.25">
      <c r="E69" s="1" t="s">
        <v>148</v>
      </c>
      <c r="F69" s="2" t="s">
        <v>9</v>
      </c>
      <c r="G69" s="4" t="s">
        <v>168</v>
      </c>
      <c r="H69" s="8" t="s">
        <v>171</v>
      </c>
      <c r="I69" s="5" t="s">
        <v>35</v>
      </c>
      <c r="J69" s="6">
        <f>0.1*92.75</f>
        <v>9.2750000000000004</v>
      </c>
      <c r="K69" s="7">
        <v>33.729999999999997</v>
      </c>
      <c r="L69" s="9">
        <f t="shared" ref="L69:L72" si="11">K69*1.27</f>
        <v>42.8371</v>
      </c>
      <c r="M69" s="11">
        <f t="shared" ref="M69:M72" si="12">L69*J69</f>
        <v>397.31410249999999</v>
      </c>
      <c r="N69" s="10" t="s">
        <v>50</v>
      </c>
      <c r="O69" s="16" t="s">
        <v>58</v>
      </c>
    </row>
    <row r="70" spans="5:15" ht="33.75" x14ac:dyDescent="0.25">
      <c r="E70" s="1" t="s">
        <v>150</v>
      </c>
      <c r="F70" s="2" t="s">
        <v>9</v>
      </c>
      <c r="G70" s="4" t="s">
        <v>172</v>
      </c>
      <c r="H70" s="8" t="s">
        <v>174</v>
      </c>
      <c r="I70" s="5" t="s">
        <v>35</v>
      </c>
      <c r="J70" s="6">
        <v>365.3</v>
      </c>
      <c r="K70" s="7">
        <v>69.290000000000006</v>
      </c>
      <c r="L70" s="9">
        <f t="shared" si="11"/>
        <v>87.998300000000015</v>
      </c>
      <c r="M70" s="11">
        <f t="shared" si="12"/>
        <v>32145.778990000006</v>
      </c>
      <c r="N70" s="10" t="s">
        <v>50</v>
      </c>
      <c r="O70" s="16" t="s">
        <v>58</v>
      </c>
    </row>
    <row r="71" spans="5:15" ht="22.5" x14ac:dyDescent="0.25">
      <c r="E71" s="1" t="s">
        <v>151</v>
      </c>
      <c r="F71" s="2" t="s">
        <v>134</v>
      </c>
      <c r="G71" s="4" t="s">
        <v>173</v>
      </c>
      <c r="H71" s="8" t="s">
        <v>175</v>
      </c>
      <c r="I71" s="5" t="s">
        <v>5</v>
      </c>
      <c r="J71" s="6">
        <v>332.1</v>
      </c>
      <c r="K71" s="7">
        <v>56.83</v>
      </c>
      <c r="L71" s="9">
        <f t="shared" si="11"/>
        <v>72.174099999999996</v>
      </c>
      <c r="M71" s="11">
        <f t="shared" si="12"/>
        <v>23969.018609999999</v>
      </c>
      <c r="N71" s="10" t="s">
        <v>50</v>
      </c>
      <c r="O71" s="16" t="s">
        <v>58</v>
      </c>
    </row>
    <row r="72" spans="5:15" ht="33.75" x14ac:dyDescent="0.25">
      <c r="E72" s="1" t="s">
        <v>153</v>
      </c>
      <c r="F72" s="2" t="s">
        <v>7</v>
      </c>
      <c r="G72" s="4" t="s">
        <v>173</v>
      </c>
      <c r="H72" s="8" t="s">
        <v>176</v>
      </c>
      <c r="I72" s="5" t="s">
        <v>34</v>
      </c>
      <c r="J72" s="6">
        <v>36.6</v>
      </c>
      <c r="K72" s="7">
        <v>230</v>
      </c>
      <c r="L72" s="9">
        <f t="shared" si="11"/>
        <v>292.10000000000002</v>
      </c>
      <c r="M72" s="11">
        <f t="shared" si="12"/>
        <v>10690.86</v>
      </c>
      <c r="N72" s="10" t="s">
        <v>50</v>
      </c>
      <c r="O72" s="16" t="s">
        <v>58</v>
      </c>
    </row>
    <row r="73" spans="5:15" x14ac:dyDescent="0.25">
      <c r="E73" s="49" t="s">
        <v>165</v>
      </c>
      <c r="F73" s="50"/>
      <c r="G73" s="63"/>
      <c r="H73" s="64" t="s">
        <v>180</v>
      </c>
      <c r="I73" s="44" t="s">
        <v>32</v>
      </c>
      <c r="J73" s="45">
        <v>0</v>
      </c>
      <c r="K73" s="52"/>
      <c r="L73" s="47">
        <v>0</v>
      </c>
      <c r="M73" s="53">
        <v>8032.12</v>
      </c>
      <c r="N73" s="10" t="s">
        <v>50</v>
      </c>
      <c r="O73" s="16" t="s">
        <v>58</v>
      </c>
    </row>
    <row r="74" spans="5:15" ht="22.5" x14ac:dyDescent="0.25">
      <c r="E74" s="1" t="s">
        <v>166</v>
      </c>
      <c r="F74" s="2" t="s">
        <v>9</v>
      </c>
      <c r="G74" s="4" t="s">
        <v>179</v>
      </c>
      <c r="H74" s="8" t="s">
        <v>181</v>
      </c>
      <c r="I74" s="5" t="s">
        <v>35</v>
      </c>
      <c r="J74" s="6">
        <v>97.3</v>
      </c>
      <c r="K74" s="7">
        <v>83.26</v>
      </c>
      <c r="L74" s="9">
        <f>K74*1.27</f>
        <v>105.7402</v>
      </c>
      <c r="M74" s="11">
        <f>L74*J74</f>
        <v>10288.52146</v>
      </c>
      <c r="N74" s="10" t="s">
        <v>50</v>
      </c>
      <c r="O74" s="16" t="s">
        <v>58</v>
      </c>
    </row>
    <row r="75" spans="5:15" x14ac:dyDescent="0.25">
      <c r="E75" s="49" t="s">
        <v>177</v>
      </c>
      <c r="F75" s="50"/>
      <c r="G75" s="63"/>
      <c r="H75" s="64" t="s">
        <v>202</v>
      </c>
      <c r="I75" s="44" t="s">
        <v>32</v>
      </c>
      <c r="J75" s="45">
        <v>0</v>
      </c>
      <c r="K75" s="52"/>
      <c r="L75" s="47">
        <v>0</v>
      </c>
      <c r="M75" s="53">
        <f>SUM(M76:M85)</f>
        <v>27088.797739999998</v>
      </c>
      <c r="N75" s="10" t="s">
        <v>50</v>
      </c>
      <c r="O75" s="16" t="s">
        <v>58</v>
      </c>
    </row>
    <row r="76" spans="5:15" ht="33.75" x14ac:dyDescent="0.25">
      <c r="E76" s="1" t="s">
        <v>178</v>
      </c>
      <c r="F76" s="2" t="s">
        <v>9</v>
      </c>
      <c r="G76" s="4" t="s">
        <v>184</v>
      </c>
      <c r="H76" s="8" t="s">
        <v>203</v>
      </c>
      <c r="I76" s="5" t="s">
        <v>37</v>
      </c>
      <c r="J76" s="6">
        <f>0.5*20</f>
        <v>10</v>
      </c>
      <c r="K76" s="7">
        <v>187.53</v>
      </c>
      <c r="L76" s="9">
        <f>K76*1.27</f>
        <v>238.16310000000001</v>
      </c>
      <c r="M76" s="11">
        <f>L76*J76</f>
        <v>2381.6310000000003</v>
      </c>
      <c r="N76" s="10" t="s">
        <v>50</v>
      </c>
      <c r="O76" s="16" t="s">
        <v>58</v>
      </c>
    </row>
    <row r="77" spans="5:15" ht="22.5" x14ac:dyDescent="0.25">
      <c r="E77" s="1" t="s">
        <v>428</v>
      </c>
      <c r="F77" s="2" t="s">
        <v>9</v>
      </c>
      <c r="G77" s="4" t="s">
        <v>186</v>
      </c>
      <c r="H77" s="8" t="s">
        <v>204</v>
      </c>
      <c r="I77" s="5" t="s">
        <v>37</v>
      </c>
      <c r="J77" s="6">
        <v>3</v>
      </c>
      <c r="K77" s="7">
        <v>40.340000000000003</v>
      </c>
      <c r="L77" s="9">
        <f t="shared" ref="L77:L85" si="13">K77*1.27</f>
        <v>51.231800000000007</v>
      </c>
      <c r="M77" s="11">
        <f t="shared" ref="M77:M85" si="14">L77*J77</f>
        <v>153.69540000000001</v>
      </c>
      <c r="N77" s="10" t="s">
        <v>50</v>
      </c>
      <c r="O77" s="16" t="s">
        <v>58</v>
      </c>
    </row>
    <row r="78" spans="5:15" ht="33.75" x14ac:dyDescent="0.25">
      <c r="E78" s="1" t="s">
        <v>429</v>
      </c>
      <c r="F78" s="2" t="s">
        <v>9</v>
      </c>
      <c r="G78" s="4" t="s">
        <v>188</v>
      </c>
      <c r="H78" s="8" t="s">
        <v>205</v>
      </c>
      <c r="I78" s="5" t="s">
        <v>37</v>
      </c>
      <c r="J78" s="6">
        <f>0.5*30</f>
        <v>15</v>
      </c>
      <c r="K78" s="7">
        <v>194.6</v>
      </c>
      <c r="L78" s="9">
        <f t="shared" si="13"/>
        <v>247.142</v>
      </c>
      <c r="M78" s="11">
        <f t="shared" si="14"/>
        <v>3707.13</v>
      </c>
      <c r="N78" s="10" t="s">
        <v>50</v>
      </c>
      <c r="O78" s="16" t="s">
        <v>58</v>
      </c>
    </row>
    <row r="79" spans="5:15" ht="33.75" x14ac:dyDescent="0.25">
      <c r="E79" s="1" t="s">
        <v>430</v>
      </c>
      <c r="F79" s="2" t="s">
        <v>9</v>
      </c>
      <c r="G79" s="4" t="s">
        <v>190</v>
      </c>
      <c r="H79" s="8" t="s">
        <v>206</v>
      </c>
      <c r="I79" s="5" t="s">
        <v>37</v>
      </c>
      <c r="J79" s="6">
        <f>0.6*39</f>
        <v>23.4</v>
      </c>
      <c r="K79" s="7">
        <v>245.08</v>
      </c>
      <c r="L79" s="9">
        <f t="shared" si="13"/>
        <v>311.2516</v>
      </c>
      <c r="M79" s="11">
        <f t="shared" si="14"/>
        <v>7283.2874399999992</v>
      </c>
      <c r="N79" s="10" t="s">
        <v>50</v>
      </c>
      <c r="O79" s="16" t="s">
        <v>58</v>
      </c>
    </row>
    <row r="80" spans="5:15" ht="22.5" x14ac:dyDescent="0.25">
      <c r="E80" s="1" t="s">
        <v>431</v>
      </c>
      <c r="F80" s="2" t="s">
        <v>9</v>
      </c>
      <c r="G80" s="4" t="s">
        <v>192</v>
      </c>
      <c r="H80" s="8" t="s">
        <v>207</v>
      </c>
      <c r="I80" s="5" t="s">
        <v>37</v>
      </c>
      <c r="J80" s="6">
        <v>83</v>
      </c>
      <c r="K80" s="7">
        <v>44.9</v>
      </c>
      <c r="L80" s="9">
        <f t="shared" si="13"/>
        <v>57.022999999999996</v>
      </c>
      <c r="M80" s="11">
        <f t="shared" si="14"/>
        <v>4732.9089999999997</v>
      </c>
      <c r="N80" s="10" t="s">
        <v>50</v>
      </c>
      <c r="O80" s="16" t="s">
        <v>58</v>
      </c>
    </row>
    <row r="81" spans="5:15" ht="22.5" x14ac:dyDescent="0.25">
      <c r="E81" s="1" t="s">
        <v>432</v>
      </c>
      <c r="F81" s="2" t="s">
        <v>9</v>
      </c>
      <c r="G81" s="4" t="s">
        <v>192</v>
      </c>
      <c r="H81" s="8" t="s">
        <v>208</v>
      </c>
      <c r="I81" s="5" t="s">
        <v>37</v>
      </c>
      <c r="J81" s="6">
        <v>31</v>
      </c>
      <c r="K81" s="7">
        <v>44.9</v>
      </c>
      <c r="L81" s="9">
        <f t="shared" si="13"/>
        <v>57.022999999999996</v>
      </c>
      <c r="M81" s="11">
        <f t="shared" si="14"/>
        <v>1767.713</v>
      </c>
      <c r="N81" s="10" t="s">
        <v>50</v>
      </c>
      <c r="O81" s="16" t="s">
        <v>58</v>
      </c>
    </row>
    <row r="82" spans="5:15" x14ac:dyDescent="0.25">
      <c r="E82" s="1" t="s">
        <v>433</v>
      </c>
      <c r="F82" s="2" t="s">
        <v>75</v>
      </c>
      <c r="G82" s="4" t="s">
        <v>195</v>
      </c>
      <c r="H82" s="8" t="s">
        <v>209</v>
      </c>
      <c r="I82" s="5" t="s">
        <v>210</v>
      </c>
      <c r="J82" s="6">
        <v>10</v>
      </c>
      <c r="K82" s="7">
        <v>44.78</v>
      </c>
      <c r="L82" s="9">
        <f t="shared" si="13"/>
        <v>56.870600000000003</v>
      </c>
      <c r="M82" s="11">
        <f t="shared" si="14"/>
        <v>568.70600000000002</v>
      </c>
      <c r="N82" s="10" t="s">
        <v>50</v>
      </c>
      <c r="O82" s="16" t="s">
        <v>58</v>
      </c>
    </row>
    <row r="83" spans="5:15" ht="22.5" x14ac:dyDescent="0.25">
      <c r="E83" s="1" t="s">
        <v>434</v>
      </c>
      <c r="F83" s="2" t="s">
        <v>7</v>
      </c>
      <c r="G83" s="4" t="s">
        <v>197</v>
      </c>
      <c r="H83" s="8" t="s">
        <v>211</v>
      </c>
      <c r="I83" s="5" t="s">
        <v>212</v>
      </c>
      <c r="J83" s="6">
        <v>12</v>
      </c>
      <c r="K83" s="7">
        <v>151.09</v>
      </c>
      <c r="L83" s="9">
        <f t="shared" si="13"/>
        <v>191.8843</v>
      </c>
      <c r="M83" s="11">
        <f t="shared" si="14"/>
        <v>2302.6116000000002</v>
      </c>
      <c r="N83" s="10" t="s">
        <v>50</v>
      </c>
      <c r="O83" s="16" t="s">
        <v>58</v>
      </c>
    </row>
    <row r="84" spans="5:15" ht="33.75" x14ac:dyDescent="0.25">
      <c r="E84" s="1" t="s">
        <v>435</v>
      </c>
      <c r="F84" s="2" t="s">
        <v>9</v>
      </c>
      <c r="G84" s="4" t="s">
        <v>199</v>
      </c>
      <c r="H84" s="8" t="s">
        <v>213</v>
      </c>
      <c r="I84" s="5" t="s">
        <v>37</v>
      </c>
      <c r="J84" s="6">
        <v>23</v>
      </c>
      <c r="K84" s="7">
        <v>49.79</v>
      </c>
      <c r="L84" s="9">
        <f t="shared" si="13"/>
        <v>63.2333</v>
      </c>
      <c r="M84" s="11">
        <f t="shared" si="14"/>
        <v>1454.3659</v>
      </c>
      <c r="N84" s="10" t="s">
        <v>50</v>
      </c>
      <c r="O84" s="16" t="s">
        <v>58</v>
      </c>
    </row>
    <row r="85" spans="5:15" ht="22.5" x14ac:dyDescent="0.25">
      <c r="E85" s="1" t="s">
        <v>436</v>
      </c>
      <c r="F85" s="2" t="s">
        <v>9</v>
      </c>
      <c r="G85" s="4" t="s">
        <v>201</v>
      </c>
      <c r="H85" s="8" t="s">
        <v>214</v>
      </c>
      <c r="I85" s="5" t="s">
        <v>37</v>
      </c>
      <c r="J85" s="6">
        <v>68</v>
      </c>
      <c r="K85" s="7">
        <v>31.69</v>
      </c>
      <c r="L85" s="9">
        <f t="shared" si="13"/>
        <v>40.246300000000005</v>
      </c>
      <c r="M85" s="11">
        <f t="shared" si="14"/>
        <v>2736.7484000000004</v>
      </c>
      <c r="N85" s="10" t="s">
        <v>50</v>
      </c>
      <c r="O85" s="16" t="s">
        <v>58</v>
      </c>
    </row>
    <row r="86" spans="5:15" x14ac:dyDescent="0.25">
      <c r="E86" s="49" t="s">
        <v>182</v>
      </c>
      <c r="F86" s="50"/>
      <c r="G86" s="63"/>
      <c r="H86" s="64" t="s">
        <v>258</v>
      </c>
      <c r="I86" s="44" t="s">
        <v>32</v>
      </c>
      <c r="J86" s="45">
        <v>0</v>
      </c>
      <c r="K86" s="52"/>
      <c r="L86" s="47">
        <v>0</v>
      </c>
      <c r="M86" s="53">
        <f>SUM(M87:M96)</f>
        <v>45738.188940000007</v>
      </c>
      <c r="N86" s="10" t="s">
        <v>50</v>
      </c>
      <c r="O86" s="16" t="s">
        <v>58</v>
      </c>
    </row>
    <row r="87" spans="5:15" ht="33.75" x14ac:dyDescent="0.25">
      <c r="E87" s="1" t="s">
        <v>183</v>
      </c>
      <c r="F87" s="2" t="s">
        <v>9</v>
      </c>
      <c r="G87" s="4" t="s">
        <v>217</v>
      </c>
      <c r="H87" s="8" t="s">
        <v>259</v>
      </c>
      <c r="I87" s="5" t="s">
        <v>5</v>
      </c>
      <c r="J87" s="6">
        <v>40</v>
      </c>
      <c r="K87" s="7">
        <v>46.4</v>
      </c>
      <c r="L87" s="9">
        <f>K87*1.27</f>
        <v>58.927999999999997</v>
      </c>
      <c r="M87" s="11">
        <f>L87*J87</f>
        <v>2357.12</v>
      </c>
      <c r="N87" s="10" t="s">
        <v>50</v>
      </c>
      <c r="O87" s="16" t="s">
        <v>58</v>
      </c>
    </row>
    <row r="88" spans="5:15" ht="33.75" x14ac:dyDescent="0.25">
      <c r="E88" s="1" t="s">
        <v>185</v>
      </c>
      <c r="F88" s="2" t="s">
        <v>9</v>
      </c>
      <c r="G88" s="4" t="s">
        <v>219</v>
      </c>
      <c r="H88" s="8" t="s">
        <v>260</v>
      </c>
      <c r="I88" s="5" t="s">
        <v>37</v>
      </c>
      <c r="J88" s="6">
        <f>0.8*46</f>
        <v>36.800000000000004</v>
      </c>
      <c r="K88" s="7">
        <v>148.84</v>
      </c>
      <c r="L88" s="9">
        <f t="shared" ref="L88:L96" si="15">K88*1.27</f>
        <v>189.02680000000001</v>
      </c>
      <c r="M88" s="11">
        <f t="shared" ref="M88:M96" si="16">L88*J88</f>
        <v>6956.1862400000009</v>
      </c>
      <c r="N88" s="10" t="s">
        <v>50</v>
      </c>
      <c r="O88" s="16" t="s">
        <v>58</v>
      </c>
    </row>
    <row r="89" spans="5:15" ht="22.5" x14ac:dyDescent="0.25">
      <c r="E89" s="1" t="s">
        <v>187</v>
      </c>
      <c r="F89" s="2" t="s">
        <v>9</v>
      </c>
      <c r="G89" s="4" t="s">
        <v>221</v>
      </c>
      <c r="H89" s="8" t="s">
        <v>261</v>
      </c>
      <c r="I89" s="5" t="s">
        <v>37</v>
      </c>
      <c r="J89" s="6">
        <f>0.8*25</f>
        <v>20</v>
      </c>
      <c r="K89" s="7">
        <v>95.65</v>
      </c>
      <c r="L89" s="9">
        <f t="shared" si="15"/>
        <v>121.47550000000001</v>
      </c>
      <c r="M89" s="11">
        <f t="shared" si="16"/>
        <v>2429.5100000000002</v>
      </c>
      <c r="N89" s="10" t="s">
        <v>50</v>
      </c>
      <c r="O89" s="16" t="s">
        <v>58</v>
      </c>
    </row>
    <row r="90" spans="5:15" ht="45" x14ac:dyDescent="0.25">
      <c r="E90" s="1" t="s">
        <v>189</v>
      </c>
      <c r="F90" s="2" t="s">
        <v>9</v>
      </c>
      <c r="G90" s="4" t="s">
        <v>223</v>
      </c>
      <c r="H90" s="8" t="s">
        <v>262</v>
      </c>
      <c r="I90" s="5" t="s">
        <v>37</v>
      </c>
      <c r="J90" s="6">
        <v>25</v>
      </c>
      <c r="K90" s="7">
        <v>239.23</v>
      </c>
      <c r="L90" s="9">
        <f t="shared" si="15"/>
        <v>303.82209999999998</v>
      </c>
      <c r="M90" s="11">
        <f t="shared" si="16"/>
        <v>7595.5524999999998</v>
      </c>
      <c r="N90" s="10" t="s">
        <v>50</v>
      </c>
      <c r="O90" s="16" t="s">
        <v>58</v>
      </c>
    </row>
    <row r="91" spans="5:15" ht="33.75" x14ac:dyDescent="0.25">
      <c r="E91" s="1" t="s">
        <v>191</v>
      </c>
      <c r="F91" s="2" t="s">
        <v>9</v>
      </c>
      <c r="G91" s="4" t="s">
        <v>225</v>
      </c>
      <c r="H91" s="8" t="s">
        <v>263</v>
      </c>
      <c r="I91" s="5" t="s">
        <v>37</v>
      </c>
      <c r="J91" s="6">
        <v>5</v>
      </c>
      <c r="K91" s="7">
        <v>563.33000000000004</v>
      </c>
      <c r="L91" s="9">
        <f t="shared" si="15"/>
        <v>715.42910000000006</v>
      </c>
      <c r="M91" s="11">
        <f t="shared" si="16"/>
        <v>3577.1455000000005</v>
      </c>
      <c r="N91" s="10" t="s">
        <v>50</v>
      </c>
      <c r="O91" s="16" t="s">
        <v>58</v>
      </c>
    </row>
    <row r="92" spans="5:15" ht="33.75" x14ac:dyDescent="0.25">
      <c r="E92" s="1" t="s">
        <v>193</v>
      </c>
      <c r="F92" s="2" t="s">
        <v>9</v>
      </c>
      <c r="G92" s="4" t="s">
        <v>227</v>
      </c>
      <c r="H92" s="8" t="s">
        <v>264</v>
      </c>
      <c r="I92" s="5" t="s">
        <v>37</v>
      </c>
      <c r="J92" s="6">
        <v>7</v>
      </c>
      <c r="K92" s="7">
        <v>746.33</v>
      </c>
      <c r="L92" s="9">
        <f t="shared" si="15"/>
        <v>947.83910000000003</v>
      </c>
      <c r="M92" s="11">
        <f t="shared" si="16"/>
        <v>6634.8737000000001</v>
      </c>
      <c r="N92" s="10" t="s">
        <v>50</v>
      </c>
      <c r="O92" s="16" t="s">
        <v>58</v>
      </c>
    </row>
    <row r="93" spans="5:15" ht="22.5" x14ac:dyDescent="0.25">
      <c r="E93" s="1" t="s">
        <v>194</v>
      </c>
      <c r="F93" s="2" t="s">
        <v>9</v>
      </c>
      <c r="G93" s="4" t="s">
        <v>229</v>
      </c>
      <c r="H93" s="8" t="s">
        <v>265</v>
      </c>
      <c r="I93" s="5" t="s">
        <v>37</v>
      </c>
      <c r="J93" s="6">
        <v>12</v>
      </c>
      <c r="K93" s="7">
        <v>42.08</v>
      </c>
      <c r="L93" s="9">
        <f t="shared" si="15"/>
        <v>53.441600000000001</v>
      </c>
      <c r="M93" s="11">
        <f t="shared" si="16"/>
        <v>641.29920000000004</v>
      </c>
      <c r="N93" s="10" t="s">
        <v>50</v>
      </c>
      <c r="O93" s="16" t="s">
        <v>58</v>
      </c>
    </row>
    <row r="94" spans="5:15" ht="22.5" x14ac:dyDescent="0.25">
      <c r="E94" s="1" t="s">
        <v>196</v>
      </c>
      <c r="F94" s="2" t="s">
        <v>9</v>
      </c>
      <c r="G94" s="4" t="s">
        <v>231</v>
      </c>
      <c r="H94" s="8" t="s">
        <v>266</v>
      </c>
      <c r="I94" s="5" t="s">
        <v>37</v>
      </c>
      <c r="J94" s="6">
        <v>5</v>
      </c>
      <c r="K94" s="7">
        <v>92.8</v>
      </c>
      <c r="L94" s="9">
        <f t="shared" si="15"/>
        <v>117.85599999999999</v>
      </c>
      <c r="M94" s="11">
        <f t="shared" si="16"/>
        <v>589.28</v>
      </c>
      <c r="N94" s="10" t="s">
        <v>50</v>
      </c>
      <c r="O94" s="16" t="s">
        <v>58</v>
      </c>
    </row>
    <row r="95" spans="5:15" ht="45" x14ac:dyDescent="0.25">
      <c r="E95" s="1" t="s">
        <v>198</v>
      </c>
      <c r="F95" s="2" t="s">
        <v>9</v>
      </c>
      <c r="G95" s="4" t="s">
        <v>233</v>
      </c>
      <c r="H95" s="8" t="s">
        <v>267</v>
      </c>
      <c r="I95" s="5" t="s">
        <v>37</v>
      </c>
      <c r="J95" s="6">
        <v>4</v>
      </c>
      <c r="K95" s="7">
        <v>1364.26</v>
      </c>
      <c r="L95" s="9">
        <f t="shared" si="15"/>
        <v>1732.6102000000001</v>
      </c>
      <c r="M95" s="11">
        <f t="shared" si="16"/>
        <v>6930.4408000000003</v>
      </c>
      <c r="N95" s="10" t="s">
        <v>50</v>
      </c>
      <c r="O95" s="16" t="s">
        <v>58</v>
      </c>
    </row>
    <row r="96" spans="5:15" ht="22.5" x14ac:dyDescent="0.25">
      <c r="E96" s="1" t="s">
        <v>200</v>
      </c>
      <c r="F96" s="2" t="s">
        <v>9</v>
      </c>
      <c r="G96" s="4" t="s">
        <v>235</v>
      </c>
      <c r="H96" s="8" t="s">
        <v>268</v>
      </c>
      <c r="I96" s="5" t="s">
        <v>37</v>
      </c>
      <c r="J96" s="6">
        <v>7</v>
      </c>
      <c r="K96" s="7">
        <v>902.9</v>
      </c>
      <c r="L96" s="9">
        <f t="shared" si="15"/>
        <v>1146.683</v>
      </c>
      <c r="M96" s="11">
        <f t="shared" si="16"/>
        <v>8026.7809999999999</v>
      </c>
      <c r="N96" s="10" t="s">
        <v>50</v>
      </c>
      <c r="O96" s="16" t="s">
        <v>58</v>
      </c>
    </row>
    <row r="97" spans="5:15" x14ac:dyDescent="0.25">
      <c r="E97" s="49" t="s">
        <v>215</v>
      </c>
      <c r="F97" s="50"/>
      <c r="G97" s="63"/>
      <c r="H97" s="64" t="s">
        <v>269</v>
      </c>
      <c r="I97" s="44" t="s">
        <v>32</v>
      </c>
      <c r="J97" s="45">
        <v>0</v>
      </c>
      <c r="K97" s="52"/>
      <c r="L97" s="47">
        <v>0</v>
      </c>
      <c r="M97" s="53">
        <f>SUM(M98:M108)</f>
        <v>47232.278407999998</v>
      </c>
      <c r="N97" s="10" t="s">
        <v>50</v>
      </c>
      <c r="O97" s="16" t="s">
        <v>58</v>
      </c>
    </row>
    <row r="98" spans="5:15" ht="45" x14ac:dyDescent="0.25">
      <c r="E98" s="1" t="s">
        <v>216</v>
      </c>
      <c r="F98" s="2" t="s">
        <v>9</v>
      </c>
      <c r="G98" s="4" t="s">
        <v>238</v>
      </c>
      <c r="H98" s="8" t="s">
        <v>270</v>
      </c>
      <c r="I98" s="5" t="s">
        <v>5</v>
      </c>
      <c r="J98" s="6">
        <v>40</v>
      </c>
      <c r="K98" s="7">
        <v>94.57</v>
      </c>
      <c r="L98" s="9">
        <f>K98*1.27</f>
        <v>120.1039</v>
      </c>
      <c r="M98" s="11">
        <f>L98*J98</f>
        <v>4804.1559999999999</v>
      </c>
      <c r="N98" s="10" t="s">
        <v>50</v>
      </c>
      <c r="O98" s="16" t="s">
        <v>58</v>
      </c>
    </row>
    <row r="99" spans="5:15" ht="45" x14ac:dyDescent="0.25">
      <c r="E99" s="1" t="s">
        <v>218</v>
      </c>
      <c r="F99" s="2" t="s">
        <v>9</v>
      </c>
      <c r="G99" s="4" t="s">
        <v>240</v>
      </c>
      <c r="H99" s="8" t="s">
        <v>271</v>
      </c>
      <c r="I99" s="5" t="s">
        <v>5</v>
      </c>
      <c r="J99" s="6">
        <v>140</v>
      </c>
      <c r="K99" s="7">
        <v>73.819999999999993</v>
      </c>
      <c r="L99" s="9">
        <f t="shared" ref="L99:L108" si="17">K99*1.27</f>
        <v>93.75139999999999</v>
      </c>
      <c r="M99" s="11">
        <f t="shared" ref="M99:M108" si="18">L99*J99</f>
        <v>13125.195999999998</v>
      </c>
      <c r="N99" s="10" t="s">
        <v>50</v>
      </c>
      <c r="O99" s="16" t="s">
        <v>58</v>
      </c>
    </row>
    <row r="100" spans="5:15" ht="45" x14ac:dyDescent="0.25">
      <c r="E100" s="1" t="s">
        <v>220</v>
      </c>
      <c r="F100" s="2" t="s">
        <v>9</v>
      </c>
      <c r="G100" s="4" t="s">
        <v>242</v>
      </c>
      <c r="H100" s="8" t="s">
        <v>272</v>
      </c>
      <c r="I100" s="5" t="s">
        <v>5</v>
      </c>
      <c r="J100" s="6">
        <v>31</v>
      </c>
      <c r="K100" s="7">
        <v>76.239999999999995</v>
      </c>
      <c r="L100" s="9">
        <f t="shared" si="17"/>
        <v>96.824799999999996</v>
      </c>
      <c r="M100" s="11">
        <f t="shared" si="18"/>
        <v>3001.5688</v>
      </c>
      <c r="N100" s="10" t="s">
        <v>50</v>
      </c>
      <c r="O100" s="16" t="s">
        <v>58</v>
      </c>
    </row>
    <row r="101" spans="5:15" ht="22.5" x14ac:dyDescent="0.25">
      <c r="E101" s="1" t="s">
        <v>222</v>
      </c>
      <c r="F101" s="2" t="s">
        <v>9</v>
      </c>
      <c r="G101" s="4" t="s">
        <v>244</v>
      </c>
      <c r="H101" s="8" t="s">
        <v>273</v>
      </c>
      <c r="I101" s="5" t="s">
        <v>5</v>
      </c>
      <c r="J101" s="6">
        <v>3</v>
      </c>
      <c r="K101" s="7">
        <v>109.45</v>
      </c>
      <c r="L101" s="9">
        <f t="shared" si="17"/>
        <v>139.00149999999999</v>
      </c>
      <c r="M101" s="11">
        <f t="shared" si="18"/>
        <v>417.00450000000001</v>
      </c>
      <c r="N101" s="10" t="s">
        <v>50</v>
      </c>
      <c r="O101" s="16" t="s">
        <v>58</v>
      </c>
    </row>
    <row r="102" spans="5:15" ht="33.75" x14ac:dyDescent="0.25">
      <c r="E102" s="1" t="s">
        <v>224</v>
      </c>
      <c r="F102" s="2" t="s">
        <v>9</v>
      </c>
      <c r="G102" s="4" t="s">
        <v>246</v>
      </c>
      <c r="H102" s="8" t="s">
        <v>274</v>
      </c>
      <c r="I102" s="5" t="s">
        <v>37</v>
      </c>
      <c r="J102" s="6">
        <v>18</v>
      </c>
      <c r="K102" s="7">
        <v>71.09</v>
      </c>
      <c r="L102" s="9">
        <f t="shared" si="17"/>
        <v>90.284300000000002</v>
      </c>
      <c r="M102" s="11">
        <f t="shared" si="18"/>
        <v>1625.1174000000001</v>
      </c>
      <c r="N102" s="10" t="s">
        <v>50</v>
      </c>
      <c r="O102" s="16" t="s">
        <v>58</v>
      </c>
    </row>
    <row r="103" spans="5:15" ht="22.5" x14ac:dyDescent="0.25">
      <c r="E103" s="1" t="s">
        <v>226</v>
      </c>
      <c r="F103" s="2" t="s">
        <v>9</v>
      </c>
      <c r="G103" s="4" t="s">
        <v>248</v>
      </c>
      <c r="H103" s="8" t="s">
        <v>275</v>
      </c>
      <c r="I103" s="5" t="s">
        <v>37</v>
      </c>
      <c r="J103" s="6">
        <v>6</v>
      </c>
      <c r="K103" s="7">
        <v>348.1</v>
      </c>
      <c r="L103" s="9">
        <f t="shared" si="17"/>
        <v>442.08700000000005</v>
      </c>
      <c r="M103" s="11">
        <f t="shared" si="18"/>
        <v>2652.5220000000004</v>
      </c>
      <c r="N103" s="10" t="s">
        <v>50</v>
      </c>
      <c r="O103" s="16" t="s">
        <v>58</v>
      </c>
    </row>
    <row r="104" spans="5:15" ht="22.5" x14ac:dyDescent="0.25">
      <c r="E104" s="1" t="s">
        <v>228</v>
      </c>
      <c r="F104" s="2" t="s">
        <v>7</v>
      </c>
      <c r="G104" s="4" t="s">
        <v>250</v>
      </c>
      <c r="H104" s="8" t="s">
        <v>276</v>
      </c>
      <c r="I104" s="5" t="s">
        <v>37</v>
      </c>
      <c r="J104" s="6">
        <v>4</v>
      </c>
      <c r="K104" s="7">
        <v>492.14</v>
      </c>
      <c r="L104" s="9">
        <f t="shared" si="17"/>
        <v>625.01779999999997</v>
      </c>
      <c r="M104" s="11">
        <f t="shared" si="18"/>
        <v>2500.0711999999999</v>
      </c>
      <c r="N104" s="10" t="s">
        <v>50</v>
      </c>
      <c r="O104" s="16" t="s">
        <v>58</v>
      </c>
    </row>
    <row r="105" spans="5:15" ht="33.75" x14ac:dyDescent="0.25">
      <c r="E105" s="1" t="s">
        <v>230</v>
      </c>
      <c r="F105" s="2" t="s">
        <v>9</v>
      </c>
      <c r="G105" s="4" t="s">
        <v>252</v>
      </c>
      <c r="H105" s="8" t="s">
        <v>277</v>
      </c>
      <c r="I105" s="5" t="s">
        <v>37</v>
      </c>
      <c r="J105" s="6">
        <v>1</v>
      </c>
      <c r="K105" s="7">
        <v>7747.38</v>
      </c>
      <c r="L105" s="9">
        <f t="shared" si="17"/>
        <v>9839.1725999999999</v>
      </c>
      <c r="M105" s="11">
        <f t="shared" si="18"/>
        <v>9839.1725999999999</v>
      </c>
      <c r="N105" s="10" t="s">
        <v>50</v>
      </c>
      <c r="O105" s="16" t="s">
        <v>58</v>
      </c>
    </row>
    <row r="106" spans="5:15" ht="22.5" x14ac:dyDescent="0.25">
      <c r="E106" s="1" t="s">
        <v>232</v>
      </c>
      <c r="F106" s="2" t="s">
        <v>9</v>
      </c>
      <c r="G106" s="4" t="s">
        <v>254</v>
      </c>
      <c r="H106" s="8" t="s">
        <v>278</v>
      </c>
      <c r="I106" s="5" t="s">
        <v>5</v>
      </c>
      <c r="J106" s="6">
        <f>0.6*148</f>
        <v>88.8</v>
      </c>
      <c r="K106" s="7">
        <v>29.31</v>
      </c>
      <c r="L106" s="9">
        <f t="shared" si="17"/>
        <v>37.223700000000001</v>
      </c>
      <c r="M106" s="11">
        <f t="shared" si="18"/>
        <v>3305.4645599999999</v>
      </c>
      <c r="N106" s="10" t="s">
        <v>50</v>
      </c>
      <c r="O106" s="16" t="s">
        <v>58</v>
      </c>
    </row>
    <row r="107" spans="5:15" ht="22.5" x14ac:dyDescent="0.25">
      <c r="E107" s="1" t="s">
        <v>234</v>
      </c>
      <c r="F107" s="2" t="s">
        <v>9</v>
      </c>
      <c r="G107" s="4" t="s">
        <v>256</v>
      </c>
      <c r="H107" s="8" t="s">
        <v>279</v>
      </c>
      <c r="I107" s="5" t="s">
        <v>5</v>
      </c>
      <c r="J107" s="6">
        <f>0.6*156</f>
        <v>93.6</v>
      </c>
      <c r="K107" s="7">
        <v>31.84</v>
      </c>
      <c r="L107" s="9">
        <f t="shared" si="17"/>
        <v>40.436799999999998</v>
      </c>
      <c r="M107" s="11">
        <f t="shared" si="18"/>
        <v>3784.8844799999997</v>
      </c>
      <c r="N107" s="10" t="s">
        <v>50</v>
      </c>
      <c r="O107" s="16" t="s">
        <v>58</v>
      </c>
    </row>
    <row r="108" spans="5:15" ht="22.5" x14ac:dyDescent="0.25">
      <c r="E108" s="1" t="s">
        <v>437</v>
      </c>
      <c r="F108" s="2" t="s">
        <v>9</v>
      </c>
      <c r="G108" s="4" t="s">
        <v>257</v>
      </c>
      <c r="H108" s="8" t="s">
        <v>280</v>
      </c>
      <c r="I108" s="5" t="s">
        <v>62</v>
      </c>
      <c r="J108" s="6">
        <f>0.6*33.8</f>
        <v>20.279999999999998</v>
      </c>
      <c r="K108" s="7">
        <v>84.53</v>
      </c>
      <c r="L108" s="9">
        <f t="shared" si="17"/>
        <v>107.3531</v>
      </c>
      <c r="M108" s="11">
        <f t="shared" si="18"/>
        <v>2177.1208679999995</v>
      </c>
      <c r="N108" s="10" t="s">
        <v>50</v>
      </c>
      <c r="O108" s="16" t="s">
        <v>58</v>
      </c>
    </row>
    <row r="109" spans="5:15" x14ac:dyDescent="0.25">
      <c r="E109" s="49" t="s">
        <v>236</v>
      </c>
      <c r="F109" s="50"/>
      <c r="G109" s="63"/>
      <c r="H109" s="64" t="s">
        <v>292</v>
      </c>
      <c r="I109" s="44" t="s">
        <v>32</v>
      </c>
      <c r="J109" s="45">
        <v>0</v>
      </c>
      <c r="K109" s="52"/>
      <c r="L109" s="47">
        <v>0</v>
      </c>
      <c r="M109" s="53">
        <f>SUM(M110:M119)</f>
        <v>116908.430013</v>
      </c>
      <c r="N109" s="10" t="s">
        <v>50</v>
      </c>
      <c r="O109" s="16" t="s">
        <v>58</v>
      </c>
    </row>
    <row r="110" spans="5:15" ht="45" x14ac:dyDescent="0.25">
      <c r="E110" s="1" t="s">
        <v>237</v>
      </c>
      <c r="F110" s="2" t="s">
        <v>9</v>
      </c>
      <c r="G110" s="4" t="s">
        <v>283</v>
      </c>
      <c r="H110" s="8" t="s">
        <v>293</v>
      </c>
      <c r="I110" s="5" t="s">
        <v>35</v>
      </c>
      <c r="J110" s="6">
        <v>2.4</v>
      </c>
      <c r="K110" s="7">
        <v>458.3</v>
      </c>
      <c r="L110" s="9">
        <f>K110*1.27</f>
        <v>582.04100000000005</v>
      </c>
      <c r="M110" s="11">
        <f>L110*J110</f>
        <v>1396.8984</v>
      </c>
      <c r="N110" s="10" t="s">
        <v>50</v>
      </c>
      <c r="O110" s="16" t="s">
        <v>58</v>
      </c>
    </row>
    <row r="111" spans="5:15" ht="45" x14ac:dyDescent="0.25">
      <c r="E111" s="1" t="s">
        <v>239</v>
      </c>
      <c r="F111" s="2" t="s">
        <v>9</v>
      </c>
      <c r="G111" s="4" t="s">
        <v>285</v>
      </c>
      <c r="H111" s="8" t="s">
        <v>294</v>
      </c>
      <c r="I111" s="5" t="s">
        <v>35</v>
      </c>
      <c r="J111" s="6">
        <v>15.6</v>
      </c>
      <c r="K111" s="7">
        <v>458.3</v>
      </c>
      <c r="L111" s="9">
        <f t="shared" ref="L111:L119" si="19">K111*1.27</f>
        <v>582.04100000000005</v>
      </c>
      <c r="M111" s="11">
        <f t="shared" ref="M111:M119" si="20">L111*J111</f>
        <v>9079.8396000000012</v>
      </c>
      <c r="N111" s="10" t="s">
        <v>50</v>
      </c>
      <c r="O111" s="16" t="s">
        <v>58</v>
      </c>
    </row>
    <row r="112" spans="5:15" ht="22.5" x14ac:dyDescent="0.25">
      <c r="E112" s="1" t="s">
        <v>241</v>
      </c>
      <c r="F112" s="2" t="s">
        <v>9</v>
      </c>
      <c r="G112" s="4" t="s">
        <v>287</v>
      </c>
      <c r="H112" s="8" t="s">
        <v>295</v>
      </c>
      <c r="I112" s="5" t="s">
        <v>35</v>
      </c>
      <c r="J112" s="6">
        <v>36.96</v>
      </c>
      <c r="K112" s="7">
        <v>1032.57</v>
      </c>
      <c r="L112" s="9">
        <f t="shared" si="19"/>
        <v>1311.3638999999998</v>
      </c>
      <c r="M112" s="11">
        <f t="shared" si="20"/>
        <v>48468.009743999995</v>
      </c>
      <c r="N112" s="10" t="s">
        <v>50</v>
      </c>
      <c r="O112" s="16" t="s">
        <v>58</v>
      </c>
    </row>
    <row r="113" spans="5:15" ht="22.5" x14ac:dyDescent="0.25">
      <c r="E113" s="1" t="s">
        <v>243</v>
      </c>
      <c r="F113" s="2" t="s">
        <v>75</v>
      </c>
      <c r="G113" s="4" t="s">
        <v>289</v>
      </c>
      <c r="H113" s="8" t="s">
        <v>296</v>
      </c>
      <c r="I113" s="5" t="s">
        <v>140</v>
      </c>
      <c r="J113" s="6">
        <v>38</v>
      </c>
      <c r="K113" s="7">
        <v>70.84</v>
      </c>
      <c r="L113" s="9">
        <f t="shared" si="19"/>
        <v>89.966800000000006</v>
      </c>
      <c r="M113" s="11">
        <f t="shared" si="20"/>
        <v>3418.7384000000002</v>
      </c>
      <c r="N113" s="10" t="s">
        <v>50</v>
      </c>
      <c r="O113" s="16" t="s">
        <v>58</v>
      </c>
    </row>
    <row r="114" spans="5:15" x14ac:dyDescent="0.25">
      <c r="E114" s="1" t="s">
        <v>245</v>
      </c>
      <c r="F114" s="2" t="s">
        <v>9</v>
      </c>
      <c r="G114" s="4" t="s">
        <v>291</v>
      </c>
      <c r="H114" s="8" t="s">
        <v>297</v>
      </c>
      <c r="I114" s="5" t="s">
        <v>5</v>
      </c>
      <c r="J114" s="6">
        <v>6.15</v>
      </c>
      <c r="K114" s="7">
        <v>130.56</v>
      </c>
      <c r="L114" s="9">
        <f t="shared" si="19"/>
        <v>165.81120000000001</v>
      </c>
      <c r="M114" s="11">
        <f t="shared" si="20"/>
        <v>1019.7388800000001</v>
      </c>
      <c r="N114" s="10" t="s">
        <v>50</v>
      </c>
      <c r="O114" s="16" t="s">
        <v>58</v>
      </c>
    </row>
    <row r="115" spans="5:15" ht="45" x14ac:dyDescent="0.25">
      <c r="E115" s="1" t="s">
        <v>247</v>
      </c>
      <c r="F115" s="2" t="s">
        <v>9</v>
      </c>
      <c r="G115" s="4" t="s">
        <v>298</v>
      </c>
      <c r="H115" s="8" t="s">
        <v>314</v>
      </c>
      <c r="I115" s="5" t="s">
        <v>37</v>
      </c>
      <c r="J115" s="6">
        <v>18</v>
      </c>
      <c r="K115" s="7">
        <v>1000.29</v>
      </c>
      <c r="L115" s="9">
        <f t="shared" si="19"/>
        <v>1270.3682999999999</v>
      </c>
      <c r="M115" s="11">
        <f t="shared" si="20"/>
        <v>22866.629399999998</v>
      </c>
      <c r="N115" s="10" t="s">
        <v>50</v>
      </c>
      <c r="O115" s="16" t="s">
        <v>58</v>
      </c>
    </row>
    <row r="116" spans="5:15" ht="33.75" x14ac:dyDescent="0.25">
      <c r="E116" s="1" t="s">
        <v>249</v>
      </c>
      <c r="F116" s="2" t="s">
        <v>9</v>
      </c>
      <c r="G116" s="4" t="s">
        <v>299</v>
      </c>
      <c r="H116" s="8" t="s">
        <v>315</v>
      </c>
      <c r="I116" s="5" t="s">
        <v>35</v>
      </c>
      <c r="J116" s="6">
        <v>5.12</v>
      </c>
      <c r="K116" s="7">
        <v>875.89</v>
      </c>
      <c r="L116" s="9">
        <f t="shared" si="19"/>
        <v>1112.3803</v>
      </c>
      <c r="M116" s="11">
        <f t="shared" si="20"/>
        <v>5695.3871360000003</v>
      </c>
      <c r="N116" s="10" t="s">
        <v>50</v>
      </c>
      <c r="O116" s="16" t="s">
        <v>58</v>
      </c>
    </row>
    <row r="117" spans="5:15" ht="33.75" x14ac:dyDescent="0.25">
      <c r="E117" s="1" t="s">
        <v>251</v>
      </c>
      <c r="F117" s="2" t="s">
        <v>9</v>
      </c>
      <c r="G117" s="4" t="s">
        <v>299</v>
      </c>
      <c r="H117" s="8" t="s">
        <v>316</v>
      </c>
      <c r="I117" s="5" t="s">
        <v>35</v>
      </c>
      <c r="J117" s="6">
        <v>1.92</v>
      </c>
      <c r="K117" s="7">
        <v>875.89</v>
      </c>
      <c r="L117" s="9">
        <f t="shared" si="19"/>
        <v>1112.3803</v>
      </c>
      <c r="M117" s="11">
        <f t="shared" si="20"/>
        <v>2135.770176</v>
      </c>
      <c r="N117" s="10" t="s">
        <v>50</v>
      </c>
      <c r="O117" s="16" t="s">
        <v>58</v>
      </c>
    </row>
    <row r="118" spans="5:15" ht="33.75" x14ac:dyDescent="0.25">
      <c r="E118" s="1" t="s">
        <v>253</v>
      </c>
      <c r="F118" s="2" t="s">
        <v>9</v>
      </c>
      <c r="G118" s="4" t="s">
        <v>300</v>
      </c>
      <c r="H118" s="8" t="s">
        <v>413</v>
      </c>
      <c r="I118" s="5" t="s">
        <v>35</v>
      </c>
      <c r="J118" s="6">
        <v>6.93</v>
      </c>
      <c r="K118" s="7">
        <v>1032.57</v>
      </c>
      <c r="L118" s="9">
        <f t="shared" si="19"/>
        <v>1311.3638999999998</v>
      </c>
      <c r="M118" s="11">
        <f t="shared" si="20"/>
        <v>9087.7518269999982</v>
      </c>
      <c r="N118" s="10" t="s">
        <v>50</v>
      </c>
      <c r="O118" s="16" t="s">
        <v>58</v>
      </c>
    </row>
    <row r="119" spans="5:15" ht="22.5" x14ac:dyDescent="0.25">
      <c r="E119" s="1" t="s">
        <v>255</v>
      </c>
      <c r="F119" s="2" t="s">
        <v>9</v>
      </c>
      <c r="G119" s="4" t="s">
        <v>287</v>
      </c>
      <c r="H119" s="8" t="s">
        <v>317</v>
      </c>
      <c r="I119" s="5" t="s">
        <v>35</v>
      </c>
      <c r="J119" s="6">
        <v>8.3000000000000007</v>
      </c>
      <c r="K119" s="7">
        <v>1303.45</v>
      </c>
      <c r="L119" s="9">
        <f t="shared" si="19"/>
        <v>1655.3815000000002</v>
      </c>
      <c r="M119" s="11">
        <f t="shared" si="20"/>
        <v>13739.666450000002</v>
      </c>
      <c r="N119" s="10" t="s">
        <v>50</v>
      </c>
      <c r="O119" s="16" t="s">
        <v>58</v>
      </c>
    </row>
    <row r="120" spans="5:15" x14ac:dyDescent="0.25">
      <c r="E120" s="49" t="s">
        <v>281</v>
      </c>
      <c r="F120" s="50"/>
      <c r="G120" s="63"/>
      <c r="H120" s="64" t="s">
        <v>318</v>
      </c>
      <c r="I120" s="44" t="s">
        <v>32</v>
      </c>
      <c r="J120" s="45">
        <v>0</v>
      </c>
      <c r="K120" s="52"/>
      <c r="L120" s="47">
        <v>0</v>
      </c>
      <c r="M120" s="53">
        <f>SUM(M121:M126)</f>
        <v>89062.395268299995</v>
      </c>
      <c r="N120" s="10" t="s">
        <v>50</v>
      </c>
      <c r="O120" s="16" t="s">
        <v>58</v>
      </c>
    </row>
    <row r="121" spans="5:15" ht="22.5" x14ac:dyDescent="0.25">
      <c r="E121" s="1" t="s">
        <v>282</v>
      </c>
      <c r="F121" s="2" t="s">
        <v>9</v>
      </c>
      <c r="G121" s="4" t="s">
        <v>303</v>
      </c>
      <c r="H121" s="8" t="s">
        <v>319</v>
      </c>
      <c r="I121" s="5" t="s">
        <v>35</v>
      </c>
      <c r="J121" s="6">
        <f>0.9*495.84</f>
        <v>446.25599999999997</v>
      </c>
      <c r="K121" s="7">
        <v>2.98</v>
      </c>
      <c r="L121" s="9">
        <f>K121*1.27</f>
        <v>3.7846000000000002</v>
      </c>
      <c r="M121" s="11">
        <f>L121*J121</f>
        <v>1688.9004576</v>
      </c>
      <c r="N121" s="10" t="s">
        <v>50</v>
      </c>
      <c r="O121" s="16" t="s">
        <v>58</v>
      </c>
    </row>
    <row r="122" spans="5:15" ht="22.5" x14ac:dyDescent="0.25">
      <c r="E122" s="1" t="s">
        <v>284</v>
      </c>
      <c r="F122" s="2" t="s">
        <v>9</v>
      </c>
      <c r="G122" s="4" t="s">
        <v>305</v>
      </c>
      <c r="H122" s="8" t="s">
        <v>320</v>
      </c>
      <c r="I122" s="5" t="s">
        <v>35</v>
      </c>
      <c r="J122" s="6">
        <f>0.9*1283.89</f>
        <v>1155.5010000000002</v>
      </c>
      <c r="K122" s="7">
        <v>31.91</v>
      </c>
      <c r="L122" s="9">
        <f t="shared" ref="L122:L126" si="21">K122*1.27</f>
        <v>40.525700000000001</v>
      </c>
      <c r="M122" s="11">
        <f t="shared" ref="M122:M126" si="22">L122*J122</f>
        <v>46827.486875700008</v>
      </c>
      <c r="N122" s="10" t="s">
        <v>50</v>
      </c>
      <c r="O122" s="16" t="s">
        <v>58</v>
      </c>
    </row>
    <row r="123" spans="5:15" ht="22.5" x14ac:dyDescent="0.25">
      <c r="E123" s="1" t="s">
        <v>286</v>
      </c>
      <c r="F123" s="2" t="s">
        <v>9</v>
      </c>
      <c r="G123" s="4" t="s">
        <v>307</v>
      </c>
      <c r="H123" s="8" t="s">
        <v>321</v>
      </c>
      <c r="I123" s="5" t="s">
        <v>35</v>
      </c>
      <c r="J123" s="6">
        <v>495.84</v>
      </c>
      <c r="K123" s="7">
        <v>14.09</v>
      </c>
      <c r="L123" s="9">
        <f t="shared" si="21"/>
        <v>17.894300000000001</v>
      </c>
      <c r="M123" s="11">
        <f t="shared" si="22"/>
        <v>8872.7097119999999</v>
      </c>
      <c r="N123" s="10" t="s">
        <v>50</v>
      </c>
      <c r="O123" s="16" t="s">
        <v>58</v>
      </c>
    </row>
    <row r="124" spans="5:15" ht="22.5" x14ac:dyDescent="0.25">
      <c r="E124" s="1" t="s">
        <v>288</v>
      </c>
      <c r="F124" s="2" t="s">
        <v>9</v>
      </c>
      <c r="G124" s="4" t="s">
        <v>309</v>
      </c>
      <c r="H124" s="8" t="s">
        <v>322</v>
      </c>
      <c r="I124" s="5" t="s">
        <v>35</v>
      </c>
      <c r="J124" s="6">
        <v>1283.8900000000001</v>
      </c>
      <c r="K124" s="7">
        <v>15.61</v>
      </c>
      <c r="L124" s="9">
        <f t="shared" si="21"/>
        <v>19.8247</v>
      </c>
      <c r="M124" s="11">
        <f t="shared" si="22"/>
        <v>25452.734083000003</v>
      </c>
      <c r="N124" s="10" t="s">
        <v>50</v>
      </c>
      <c r="O124" s="16" t="s">
        <v>58</v>
      </c>
    </row>
    <row r="125" spans="5:15" ht="22.5" x14ac:dyDescent="0.25">
      <c r="E125" s="1" t="s">
        <v>290</v>
      </c>
      <c r="F125" s="2" t="s">
        <v>9</v>
      </c>
      <c r="G125" s="4" t="s">
        <v>311</v>
      </c>
      <c r="H125" s="8" t="s">
        <v>323</v>
      </c>
      <c r="I125" s="5" t="s">
        <v>35</v>
      </c>
      <c r="J125" s="6">
        <v>97.3</v>
      </c>
      <c r="K125" s="7">
        <v>32.659999999999997</v>
      </c>
      <c r="L125" s="9">
        <f t="shared" si="21"/>
        <v>41.478199999999994</v>
      </c>
      <c r="M125" s="11">
        <f t="shared" si="22"/>
        <v>4035.8288599999992</v>
      </c>
      <c r="N125" s="10" t="s">
        <v>50</v>
      </c>
      <c r="O125" s="16" t="s">
        <v>58</v>
      </c>
    </row>
    <row r="126" spans="5:15" ht="22.5" x14ac:dyDescent="0.25">
      <c r="E126" s="1" t="s">
        <v>438</v>
      </c>
      <c r="F126" s="2" t="s">
        <v>9</v>
      </c>
      <c r="G126" s="4" t="s">
        <v>313</v>
      </c>
      <c r="H126" s="8" t="s">
        <v>324</v>
      </c>
      <c r="I126" s="5" t="s">
        <v>35</v>
      </c>
      <c r="J126" s="6">
        <v>97.3</v>
      </c>
      <c r="K126" s="7">
        <v>17.68</v>
      </c>
      <c r="L126" s="9">
        <f t="shared" si="21"/>
        <v>22.453600000000002</v>
      </c>
      <c r="M126" s="11">
        <f t="shared" si="22"/>
        <v>2184.7352799999999</v>
      </c>
      <c r="N126" s="10" t="s">
        <v>50</v>
      </c>
      <c r="O126" s="16" t="s">
        <v>58</v>
      </c>
    </row>
    <row r="127" spans="5:15" x14ac:dyDescent="0.25">
      <c r="E127" s="49" t="s">
        <v>301</v>
      </c>
      <c r="F127" s="50"/>
      <c r="G127" s="63"/>
      <c r="H127" s="64" t="s">
        <v>326</v>
      </c>
      <c r="I127" s="44" t="s">
        <v>32</v>
      </c>
      <c r="J127" s="45">
        <v>0</v>
      </c>
      <c r="K127" s="52"/>
      <c r="L127" s="47">
        <v>0</v>
      </c>
      <c r="M127" s="53">
        <f>SUM(M128:M134)</f>
        <v>13479.005299999999</v>
      </c>
      <c r="N127" s="10" t="s">
        <v>50</v>
      </c>
      <c r="O127" s="16" t="s">
        <v>58</v>
      </c>
    </row>
    <row r="128" spans="5:15" x14ac:dyDescent="0.25">
      <c r="E128" s="1" t="s">
        <v>302</v>
      </c>
      <c r="F128" s="2" t="s">
        <v>7</v>
      </c>
      <c r="G128" s="4" t="s">
        <v>328</v>
      </c>
      <c r="H128" s="8" t="s">
        <v>341</v>
      </c>
      <c r="I128" s="5" t="s">
        <v>145</v>
      </c>
      <c r="J128" s="6">
        <v>3</v>
      </c>
      <c r="K128" s="7">
        <v>164.99</v>
      </c>
      <c r="L128" s="9">
        <f>K128*1.27</f>
        <v>209.53730000000002</v>
      </c>
      <c r="M128" s="11">
        <f>L128*J128</f>
        <v>628.61190000000011</v>
      </c>
      <c r="N128" s="10" t="s">
        <v>50</v>
      </c>
      <c r="O128" s="16" t="s">
        <v>58</v>
      </c>
    </row>
    <row r="129" spans="5:15" ht="22.5" x14ac:dyDescent="0.25">
      <c r="E129" s="1" t="s">
        <v>304</v>
      </c>
      <c r="F129" s="2" t="s">
        <v>9</v>
      </c>
      <c r="G129" s="4" t="s">
        <v>330</v>
      </c>
      <c r="H129" s="8" t="s">
        <v>342</v>
      </c>
      <c r="I129" s="5" t="s">
        <v>37</v>
      </c>
      <c r="J129" s="6">
        <v>18</v>
      </c>
      <c r="K129" s="7">
        <v>49.8</v>
      </c>
      <c r="L129" s="9">
        <f t="shared" ref="L129:L134" si="23">K129*1.27</f>
        <v>63.245999999999995</v>
      </c>
      <c r="M129" s="11">
        <f t="shared" ref="M129:M134" si="24">L129*J129</f>
        <v>1138.4279999999999</v>
      </c>
      <c r="N129" s="10" t="s">
        <v>50</v>
      </c>
      <c r="O129" s="16" t="s">
        <v>58</v>
      </c>
    </row>
    <row r="130" spans="5:15" x14ac:dyDescent="0.25">
      <c r="E130" s="1" t="s">
        <v>306</v>
      </c>
      <c r="F130" s="2" t="s">
        <v>75</v>
      </c>
      <c r="G130" s="4" t="s">
        <v>332</v>
      </c>
      <c r="H130" s="8" t="s">
        <v>343</v>
      </c>
      <c r="I130" s="5" t="s">
        <v>210</v>
      </c>
      <c r="J130" s="6">
        <v>18</v>
      </c>
      <c r="K130" s="7">
        <v>41.64</v>
      </c>
      <c r="L130" s="9">
        <f t="shared" si="23"/>
        <v>52.882800000000003</v>
      </c>
      <c r="M130" s="11">
        <f t="shared" si="24"/>
        <v>951.8904</v>
      </c>
      <c r="N130" s="10" t="s">
        <v>50</v>
      </c>
      <c r="O130" s="16" t="s">
        <v>58</v>
      </c>
    </row>
    <row r="131" spans="5:15" ht="22.5" x14ac:dyDescent="0.25">
      <c r="E131" s="1" t="s">
        <v>308</v>
      </c>
      <c r="F131" s="2" t="s">
        <v>9</v>
      </c>
      <c r="G131" s="4" t="s">
        <v>334</v>
      </c>
      <c r="H131" s="8" t="s">
        <v>344</v>
      </c>
      <c r="I131" s="5" t="s">
        <v>37</v>
      </c>
      <c r="J131" s="6">
        <v>12</v>
      </c>
      <c r="K131" s="7">
        <v>62.36</v>
      </c>
      <c r="L131" s="9">
        <f t="shared" si="23"/>
        <v>79.197199999999995</v>
      </c>
      <c r="M131" s="11">
        <f t="shared" si="24"/>
        <v>950.36639999999989</v>
      </c>
      <c r="N131" s="10" t="s">
        <v>50</v>
      </c>
      <c r="O131" s="16" t="s">
        <v>58</v>
      </c>
    </row>
    <row r="132" spans="5:15" ht="22.5" x14ac:dyDescent="0.25">
      <c r="E132" s="1" t="s">
        <v>310</v>
      </c>
      <c r="F132" s="2" t="s">
        <v>9</v>
      </c>
      <c r="G132" s="4" t="s">
        <v>336</v>
      </c>
      <c r="H132" s="8" t="s">
        <v>345</v>
      </c>
      <c r="I132" s="5" t="s">
        <v>37</v>
      </c>
      <c r="J132" s="6">
        <v>18</v>
      </c>
      <c r="K132" s="7">
        <v>321.52</v>
      </c>
      <c r="L132" s="9">
        <f t="shared" si="23"/>
        <v>408.3304</v>
      </c>
      <c r="M132" s="11">
        <f t="shared" si="24"/>
        <v>7349.9471999999996</v>
      </c>
      <c r="N132" s="10" t="s">
        <v>50</v>
      </c>
      <c r="O132" s="16" t="s">
        <v>58</v>
      </c>
    </row>
    <row r="133" spans="5:15" x14ac:dyDescent="0.25">
      <c r="E133" s="1" t="s">
        <v>312</v>
      </c>
      <c r="F133" s="2" t="s">
        <v>75</v>
      </c>
      <c r="G133" s="4" t="s">
        <v>338</v>
      </c>
      <c r="H133" s="8" t="s">
        <v>346</v>
      </c>
      <c r="I133" s="5" t="s">
        <v>210</v>
      </c>
      <c r="J133" s="6">
        <v>1</v>
      </c>
      <c r="K133" s="7">
        <v>739.15</v>
      </c>
      <c r="L133" s="9">
        <f t="shared" si="23"/>
        <v>938.72050000000002</v>
      </c>
      <c r="M133" s="11">
        <f t="shared" si="24"/>
        <v>938.72050000000002</v>
      </c>
      <c r="N133" s="10" t="s">
        <v>50</v>
      </c>
      <c r="O133" s="16" t="s">
        <v>58</v>
      </c>
    </row>
    <row r="134" spans="5:15" x14ac:dyDescent="0.25">
      <c r="E134" s="1" t="s">
        <v>439</v>
      </c>
      <c r="F134" s="2" t="s">
        <v>75</v>
      </c>
      <c r="G134" s="4" t="s">
        <v>340</v>
      </c>
      <c r="H134" s="8" t="s">
        <v>347</v>
      </c>
      <c r="I134" s="5" t="s">
        <v>348</v>
      </c>
      <c r="J134" s="6">
        <v>1</v>
      </c>
      <c r="K134" s="7">
        <v>1197.67</v>
      </c>
      <c r="L134" s="9">
        <f t="shared" si="23"/>
        <v>1521.0409000000002</v>
      </c>
      <c r="M134" s="11">
        <f t="shared" si="24"/>
        <v>1521.0409000000002</v>
      </c>
      <c r="N134" s="10" t="s">
        <v>50</v>
      </c>
      <c r="O134" s="16" t="s">
        <v>58</v>
      </c>
    </row>
    <row r="135" spans="5:15" x14ac:dyDescent="0.25">
      <c r="E135" s="49" t="s">
        <v>325</v>
      </c>
      <c r="F135" s="50"/>
      <c r="G135" s="63"/>
      <c r="H135" s="64" t="s">
        <v>353</v>
      </c>
      <c r="I135" s="44" t="s">
        <v>32</v>
      </c>
      <c r="J135" s="45">
        <v>0</v>
      </c>
      <c r="K135" s="52"/>
      <c r="L135" s="47">
        <v>0</v>
      </c>
      <c r="M135" s="53">
        <f>SUM(M136:M147)</f>
        <v>80913.661768999998</v>
      </c>
      <c r="N135" s="10" t="s">
        <v>50</v>
      </c>
      <c r="O135" s="16" t="s">
        <v>58</v>
      </c>
    </row>
    <row r="136" spans="5:15" ht="33.75" x14ac:dyDescent="0.25">
      <c r="E136" s="1" t="s">
        <v>440</v>
      </c>
      <c r="F136" s="2" t="s">
        <v>75</v>
      </c>
      <c r="G136" s="4" t="s">
        <v>349</v>
      </c>
      <c r="H136" s="8" t="s">
        <v>354</v>
      </c>
      <c r="I136" s="5" t="s">
        <v>140</v>
      </c>
      <c r="J136" s="6">
        <v>272.7</v>
      </c>
      <c r="K136" s="7">
        <v>83.65</v>
      </c>
      <c r="L136" s="9">
        <f>K136*1.27</f>
        <v>106.2355</v>
      </c>
      <c r="M136" s="11">
        <f>L136*J136</f>
        <v>28970.420849999999</v>
      </c>
      <c r="N136" s="10" t="s">
        <v>50</v>
      </c>
      <c r="O136" s="16" t="s">
        <v>58</v>
      </c>
    </row>
    <row r="137" spans="5:15" ht="33.75" x14ac:dyDescent="0.25">
      <c r="E137" s="1" t="s">
        <v>441</v>
      </c>
      <c r="F137" s="2" t="s">
        <v>75</v>
      </c>
      <c r="G137" s="4" t="s">
        <v>350</v>
      </c>
      <c r="H137" s="8" t="s">
        <v>355</v>
      </c>
      <c r="I137" s="5" t="s">
        <v>140</v>
      </c>
      <c r="J137" s="6">
        <v>138</v>
      </c>
      <c r="K137" s="7">
        <v>51.7</v>
      </c>
      <c r="L137" s="9">
        <f t="shared" ref="L137:L147" si="25">K137*1.27</f>
        <v>65.659000000000006</v>
      </c>
      <c r="M137" s="11">
        <f t="shared" ref="M137:M147" si="26">L137*J137</f>
        <v>9060.9420000000009</v>
      </c>
      <c r="N137" s="10" t="s">
        <v>50</v>
      </c>
      <c r="O137" s="16" t="s">
        <v>58</v>
      </c>
    </row>
    <row r="138" spans="5:15" ht="22.5" x14ac:dyDescent="0.25">
      <c r="E138" s="1" t="s">
        <v>327</v>
      </c>
      <c r="F138" s="2" t="s">
        <v>9</v>
      </c>
      <c r="G138" s="4" t="s">
        <v>351</v>
      </c>
      <c r="H138" s="8" t="s">
        <v>356</v>
      </c>
      <c r="I138" s="5" t="s">
        <v>37</v>
      </c>
      <c r="J138" s="6">
        <v>6</v>
      </c>
      <c r="K138" s="7">
        <v>62.46</v>
      </c>
      <c r="L138" s="9">
        <f t="shared" si="25"/>
        <v>79.324200000000005</v>
      </c>
      <c r="M138" s="11">
        <f t="shared" si="26"/>
        <v>475.9452</v>
      </c>
      <c r="N138" s="10" t="s">
        <v>50</v>
      </c>
      <c r="O138" s="16" t="s">
        <v>58</v>
      </c>
    </row>
    <row r="139" spans="5:15" ht="22.5" x14ac:dyDescent="0.25">
      <c r="E139" s="1" t="s">
        <v>329</v>
      </c>
      <c r="F139" s="2" t="s">
        <v>9</v>
      </c>
      <c r="G139" s="4" t="s">
        <v>352</v>
      </c>
      <c r="H139" s="8" t="s">
        <v>357</v>
      </c>
      <c r="I139" s="5" t="s">
        <v>37</v>
      </c>
      <c r="J139" s="6">
        <v>15</v>
      </c>
      <c r="K139" s="7">
        <v>52.95</v>
      </c>
      <c r="L139" s="9">
        <f t="shared" si="25"/>
        <v>67.246499999999997</v>
      </c>
      <c r="M139" s="11">
        <f t="shared" si="26"/>
        <v>1008.6975</v>
      </c>
      <c r="N139" s="10" t="s">
        <v>50</v>
      </c>
      <c r="O139" s="16" t="s">
        <v>58</v>
      </c>
    </row>
    <row r="140" spans="5:15" ht="33.75" x14ac:dyDescent="0.25">
      <c r="E140" s="1" t="s">
        <v>331</v>
      </c>
      <c r="F140" s="2" t="s">
        <v>75</v>
      </c>
      <c r="G140" s="4" t="s">
        <v>358</v>
      </c>
      <c r="H140" s="8" t="s">
        <v>362</v>
      </c>
      <c r="I140" s="5" t="s">
        <v>210</v>
      </c>
      <c r="J140" s="6">
        <v>2</v>
      </c>
      <c r="K140" s="7">
        <v>221.24</v>
      </c>
      <c r="L140" s="9">
        <f t="shared" si="25"/>
        <v>280.97480000000002</v>
      </c>
      <c r="M140" s="11">
        <f t="shared" si="26"/>
        <v>561.94960000000003</v>
      </c>
      <c r="N140" s="10" t="s">
        <v>50</v>
      </c>
      <c r="O140" s="16" t="s">
        <v>58</v>
      </c>
    </row>
    <row r="141" spans="5:15" x14ac:dyDescent="0.25">
      <c r="E141" s="1" t="s">
        <v>333</v>
      </c>
      <c r="F141" s="2" t="s">
        <v>9</v>
      </c>
      <c r="G141" s="4" t="s">
        <v>359</v>
      </c>
      <c r="H141" s="8" t="s">
        <v>363</v>
      </c>
      <c r="I141" s="5" t="s">
        <v>35</v>
      </c>
      <c r="J141" s="6">
        <v>25.99</v>
      </c>
      <c r="K141" s="7">
        <v>12.42</v>
      </c>
      <c r="L141" s="9">
        <f t="shared" si="25"/>
        <v>15.773400000000001</v>
      </c>
      <c r="M141" s="11">
        <f t="shared" si="26"/>
        <v>409.95066600000001</v>
      </c>
      <c r="N141" s="10" t="s">
        <v>50</v>
      </c>
      <c r="O141" s="16" t="s">
        <v>58</v>
      </c>
    </row>
    <row r="142" spans="5:15" ht="22.5" x14ac:dyDescent="0.25">
      <c r="E142" s="1" t="s">
        <v>335</v>
      </c>
      <c r="F142" s="2" t="s">
        <v>9</v>
      </c>
      <c r="G142" s="4" t="s">
        <v>360</v>
      </c>
      <c r="H142" s="8" t="s">
        <v>364</v>
      </c>
      <c r="I142" s="5" t="s">
        <v>35</v>
      </c>
      <c r="J142" s="6">
        <v>7.8</v>
      </c>
      <c r="K142" s="7">
        <v>39.380000000000003</v>
      </c>
      <c r="L142" s="9">
        <f t="shared" si="25"/>
        <v>50.012600000000006</v>
      </c>
      <c r="M142" s="11">
        <f t="shared" si="26"/>
        <v>390.09828000000005</v>
      </c>
      <c r="N142" s="10" t="s">
        <v>50</v>
      </c>
      <c r="O142" s="16" t="s">
        <v>58</v>
      </c>
    </row>
    <row r="143" spans="5:15" ht="33.75" x14ac:dyDescent="0.25">
      <c r="E143" s="1" t="s">
        <v>337</v>
      </c>
      <c r="F143" s="2" t="s">
        <v>9</v>
      </c>
      <c r="G143" s="4" t="s">
        <v>361</v>
      </c>
      <c r="H143" s="8" t="s">
        <v>365</v>
      </c>
      <c r="I143" s="5" t="s">
        <v>35</v>
      </c>
      <c r="J143" s="6">
        <v>25.99</v>
      </c>
      <c r="K143" s="7">
        <v>9.7799999999999994</v>
      </c>
      <c r="L143" s="9">
        <f t="shared" si="25"/>
        <v>12.420599999999999</v>
      </c>
      <c r="M143" s="11">
        <f t="shared" si="26"/>
        <v>322.81139399999995</v>
      </c>
      <c r="N143" s="10" t="s">
        <v>50</v>
      </c>
      <c r="O143" s="16" t="s">
        <v>58</v>
      </c>
    </row>
    <row r="144" spans="5:15" ht="22.5" x14ac:dyDescent="0.25">
      <c r="E144" s="1" t="s">
        <v>339</v>
      </c>
      <c r="F144" s="2" t="s">
        <v>9</v>
      </c>
      <c r="G144" s="4" t="s">
        <v>257</v>
      </c>
      <c r="H144" s="8" t="s">
        <v>280</v>
      </c>
      <c r="I144" s="5" t="s">
        <v>62</v>
      </c>
      <c r="J144" s="6">
        <v>49.09</v>
      </c>
      <c r="K144" s="7">
        <v>84.53</v>
      </c>
      <c r="L144" s="9">
        <f t="shared" si="25"/>
        <v>107.3531</v>
      </c>
      <c r="M144" s="11">
        <f t="shared" si="26"/>
        <v>5269.9636790000004</v>
      </c>
      <c r="N144" s="10" t="s">
        <v>50</v>
      </c>
      <c r="O144" s="16" t="s">
        <v>58</v>
      </c>
    </row>
    <row r="145" spans="5:15" ht="33.75" x14ac:dyDescent="0.25">
      <c r="E145" s="1" t="s">
        <v>442</v>
      </c>
      <c r="F145" s="2" t="s">
        <v>134</v>
      </c>
      <c r="G145" s="4" t="s">
        <v>60</v>
      </c>
      <c r="H145" s="8" t="s">
        <v>366</v>
      </c>
      <c r="I145" s="5" t="s">
        <v>145</v>
      </c>
      <c r="J145" s="6">
        <v>2</v>
      </c>
      <c r="K145" s="7">
        <v>1558</v>
      </c>
      <c r="L145" s="9">
        <f t="shared" si="25"/>
        <v>1978.66</v>
      </c>
      <c r="M145" s="11">
        <f t="shared" si="26"/>
        <v>3957.32</v>
      </c>
      <c r="N145" s="10" t="s">
        <v>50</v>
      </c>
      <c r="O145" s="16" t="s">
        <v>58</v>
      </c>
    </row>
    <row r="146" spans="5:15" ht="33.75" x14ac:dyDescent="0.25">
      <c r="E146" s="1" t="s">
        <v>443</v>
      </c>
      <c r="F146" s="2" t="s">
        <v>134</v>
      </c>
      <c r="G146" s="4" t="s">
        <v>22</v>
      </c>
      <c r="H146" s="8" t="s">
        <v>367</v>
      </c>
      <c r="I146" s="5" t="s">
        <v>145</v>
      </c>
      <c r="J146" s="6">
        <v>13</v>
      </c>
      <c r="K146" s="7">
        <v>1467</v>
      </c>
      <c r="L146" s="9">
        <f t="shared" si="25"/>
        <v>1863.09</v>
      </c>
      <c r="M146" s="11">
        <f t="shared" si="26"/>
        <v>24220.17</v>
      </c>
      <c r="N146" s="10" t="s">
        <v>50</v>
      </c>
      <c r="O146" s="16" t="s">
        <v>58</v>
      </c>
    </row>
    <row r="147" spans="5:15" ht="78.75" x14ac:dyDescent="0.25">
      <c r="E147" s="1" t="s">
        <v>444</v>
      </c>
      <c r="F147" s="2" t="s">
        <v>134</v>
      </c>
      <c r="G147" s="4" t="s">
        <v>197</v>
      </c>
      <c r="H147" s="8" t="s">
        <v>368</v>
      </c>
      <c r="I147" s="5" t="s">
        <v>145</v>
      </c>
      <c r="J147" s="6">
        <v>1</v>
      </c>
      <c r="K147" s="7">
        <v>4933.38</v>
      </c>
      <c r="L147" s="9">
        <f t="shared" si="25"/>
        <v>6265.3926000000001</v>
      </c>
      <c r="M147" s="11">
        <f t="shared" si="26"/>
        <v>6265.3926000000001</v>
      </c>
      <c r="N147" s="10" t="s">
        <v>50</v>
      </c>
      <c r="O147" s="16" t="s">
        <v>58</v>
      </c>
    </row>
    <row r="148" spans="5:15" s="12" customFormat="1" x14ac:dyDescent="0.25">
      <c r="E148" s="65"/>
      <c r="F148" s="66"/>
      <c r="G148" s="66"/>
      <c r="H148" s="67"/>
      <c r="I148" s="68"/>
      <c r="J148" s="69"/>
      <c r="K148" s="69"/>
      <c r="L148" s="69"/>
      <c r="M148" s="70"/>
      <c r="N148" s="23"/>
      <c r="O148" s="13"/>
    </row>
    <row r="149" spans="5:15" s="12" customFormat="1" x14ac:dyDescent="0.25"/>
    <row r="150" spans="5:15" s="12" customFormat="1" x14ac:dyDescent="0.25"/>
    <row r="151" spans="5:15" s="12" customFormat="1" x14ac:dyDescent="0.25"/>
    <row r="152" spans="5:15" s="12" customFormat="1" x14ac:dyDescent="0.25"/>
    <row r="153" spans="5:15" s="12" customFormat="1" x14ac:dyDescent="0.25"/>
    <row r="154" spans="5:15" s="12" customFormat="1" x14ac:dyDescent="0.25"/>
    <row r="155" spans="5:15" s="12" customFormat="1" x14ac:dyDescent="0.25"/>
    <row r="156" spans="5:15" s="12" customFormat="1" x14ac:dyDescent="0.25"/>
    <row r="157" spans="5:15" s="12" customFormat="1" x14ac:dyDescent="0.25"/>
    <row r="158" spans="5:15" s="12" customFormat="1" x14ac:dyDescent="0.25"/>
    <row r="159" spans="5:15" s="12" customFormat="1" x14ac:dyDescent="0.25"/>
    <row r="160" spans="5:15" s="12" customFormat="1" x14ac:dyDescent="0.25"/>
    <row r="161" s="12" customFormat="1" x14ac:dyDescent="0.25"/>
    <row r="162" s="12" customFormat="1" x14ac:dyDescent="0.25"/>
    <row r="163" s="12" customFormat="1" x14ac:dyDescent="0.25"/>
    <row r="164" s="12" customFormat="1" x14ac:dyDescent="0.25"/>
    <row r="165" s="12" customFormat="1" x14ac:dyDescent="0.25"/>
    <row r="166" s="12" customFormat="1" x14ac:dyDescent="0.25"/>
    <row r="167" s="12" customFormat="1" x14ac:dyDescent="0.25"/>
    <row r="168" s="12" customFormat="1" x14ac:dyDescent="0.25"/>
    <row r="169" s="12" customFormat="1" x14ac:dyDescent="0.25"/>
    <row r="170" s="12" customFormat="1" x14ac:dyDescent="0.25"/>
    <row r="171" s="12" customFormat="1" x14ac:dyDescent="0.25"/>
    <row r="172" s="12" customFormat="1" x14ac:dyDescent="0.25"/>
    <row r="173" s="12" customFormat="1" x14ac:dyDescent="0.25"/>
    <row r="174" s="12" customFormat="1" x14ac:dyDescent="0.25"/>
    <row r="175" s="12" customFormat="1" x14ac:dyDescent="0.25"/>
    <row r="176" s="12" customFormat="1" x14ac:dyDescent="0.25"/>
    <row r="177" s="12" customFormat="1" x14ac:dyDescent="0.25"/>
    <row r="178" s="12" customFormat="1" x14ac:dyDescent="0.25"/>
    <row r="179" s="12" customFormat="1" x14ac:dyDescent="0.25"/>
    <row r="180" s="12" customFormat="1" x14ac:dyDescent="0.25"/>
    <row r="181" s="12" customFormat="1" x14ac:dyDescent="0.25"/>
    <row r="182" s="12" customFormat="1" x14ac:dyDescent="0.25"/>
    <row r="183" s="12" customFormat="1" x14ac:dyDescent="0.25"/>
    <row r="184" s="12" customFormat="1" x14ac:dyDescent="0.25"/>
    <row r="185" s="12" customFormat="1" x14ac:dyDescent="0.25"/>
    <row r="186" s="12" customFormat="1" x14ac:dyDescent="0.25"/>
    <row r="187" s="12" customFormat="1" x14ac:dyDescent="0.25"/>
    <row r="188" s="12" customFormat="1" x14ac:dyDescent="0.25"/>
    <row r="189" s="12" customFormat="1" x14ac:dyDescent="0.25"/>
    <row r="190" s="12" customFormat="1" x14ac:dyDescent="0.25"/>
    <row r="191" s="12" customFormat="1" x14ac:dyDescent="0.25"/>
    <row r="192" s="12" customFormat="1" x14ac:dyDescent="0.25"/>
    <row r="193" s="12" customFormat="1" x14ac:dyDescent="0.25"/>
    <row r="194" s="12" customFormat="1" x14ac:dyDescent="0.25"/>
    <row r="195" s="12" customFormat="1" x14ac:dyDescent="0.25"/>
    <row r="196" s="12" customFormat="1" x14ac:dyDescent="0.25"/>
    <row r="197" s="12" customFormat="1" x14ac:dyDescent="0.25"/>
    <row r="198" s="12" customFormat="1" x14ac:dyDescent="0.25"/>
    <row r="199" s="12" customFormat="1" x14ac:dyDescent="0.25"/>
    <row r="200" s="12" customFormat="1" x14ac:dyDescent="0.25"/>
    <row r="201" s="12" customFormat="1" x14ac:dyDescent="0.25"/>
    <row r="202" s="12" customFormat="1" x14ac:dyDescent="0.25"/>
    <row r="203" s="12" customFormat="1" x14ac:dyDescent="0.25"/>
    <row r="204" s="12" customFormat="1" x14ac:dyDescent="0.25"/>
    <row r="205" s="12" customFormat="1" x14ac:dyDescent="0.25"/>
    <row r="206" s="12" customFormat="1" x14ac:dyDescent="0.25"/>
    <row r="207" s="12" customFormat="1" x14ac:dyDescent="0.25"/>
    <row r="208" s="12" customFormat="1" x14ac:dyDescent="0.25"/>
    <row r="209" s="12" customFormat="1" x14ac:dyDescent="0.25"/>
    <row r="210" s="12" customFormat="1" x14ac:dyDescent="0.25"/>
    <row r="211" s="12" customFormat="1" x14ac:dyDescent="0.25"/>
    <row r="212" s="12" customFormat="1" x14ac:dyDescent="0.25"/>
    <row r="213" s="12" customFormat="1" x14ac:dyDescent="0.25"/>
    <row r="214" s="12" customFormat="1" x14ac:dyDescent="0.25"/>
    <row r="215" s="12" customFormat="1" x14ac:dyDescent="0.25"/>
    <row r="216" s="12" customFormat="1" x14ac:dyDescent="0.25"/>
    <row r="217" s="12" customFormat="1" x14ac:dyDescent="0.25"/>
    <row r="218" s="12" customFormat="1" x14ac:dyDescent="0.25"/>
    <row r="219" s="12" customFormat="1" x14ac:dyDescent="0.25"/>
    <row r="220" s="12" customFormat="1" x14ac:dyDescent="0.25"/>
    <row r="221" s="12" customFormat="1" x14ac:dyDescent="0.25"/>
    <row r="222" s="12" customFormat="1" x14ac:dyDescent="0.25"/>
    <row r="223" s="12" customFormat="1" x14ac:dyDescent="0.25"/>
    <row r="224" s="12" customFormat="1" x14ac:dyDescent="0.25"/>
    <row r="225" s="12" customFormat="1" x14ac:dyDescent="0.25"/>
    <row r="226" s="12" customFormat="1" x14ac:dyDescent="0.25"/>
    <row r="227" s="12" customFormat="1" x14ac:dyDescent="0.25"/>
    <row r="228" s="12" customFormat="1" x14ac:dyDescent="0.25"/>
    <row r="229" s="12" customFormat="1" x14ac:dyDescent="0.25"/>
    <row r="230" s="12" customFormat="1" x14ac:dyDescent="0.25"/>
    <row r="231" s="12" customFormat="1" x14ac:dyDescent="0.25"/>
    <row r="232" s="12" customFormat="1" x14ac:dyDescent="0.25"/>
    <row r="233" s="12" customFormat="1" x14ac:dyDescent="0.25"/>
    <row r="234" s="12" customFormat="1" x14ac:dyDescent="0.25"/>
    <row r="235" s="12" customFormat="1" x14ac:dyDescent="0.25"/>
    <row r="236" s="12" customFormat="1" x14ac:dyDescent="0.25"/>
    <row r="237" s="12" customFormat="1" x14ac:dyDescent="0.25"/>
    <row r="238" s="12" customFormat="1" x14ac:dyDescent="0.25"/>
    <row r="239" s="12" customFormat="1" x14ac:dyDescent="0.25"/>
    <row r="240" s="12" customFormat="1" x14ac:dyDescent="0.25"/>
    <row r="241" s="12" customFormat="1" x14ac:dyDescent="0.25"/>
    <row r="242" s="12" customFormat="1" x14ac:dyDescent="0.25"/>
  </sheetData>
  <phoneticPr fontId="15" type="noConversion"/>
  <conditionalFormatting sqref="F9:G148 I9:L148">
    <cfRule type="expression" dxfId="7" priority="6" stopIfTrue="1">
      <formula>OR($F9="M",$F9="A")</formula>
    </cfRule>
  </conditionalFormatting>
  <conditionalFormatting sqref="E15:E147">
    <cfRule type="expression" dxfId="6" priority="5" stopIfTrue="1">
      <formula>OR($F15="M",$F15="A")</formula>
    </cfRule>
  </conditionalFormatting>
  <conditionalFormatting sqref="E13">
    <cfRule type="expression" dxfId="5" priority="4" stopIfTrue="1">
      <formula>OR($F13="M",$F13="A")</formula>
    </cfRule>
  </conditionalFormatting>
  <conditionalFormatting sqref="H9:H148">
    <cfRule type="expression" dxfId="4" priority="3" stopIfTrue="1">
      <formula>OR($F9="M",$F9="A")</formula>
    </cfRule>
  </conditionalFormatting>
  <conditionalFormatting sqref="N9:O148">
    <cfRule type="expression" dxfId="3" priority="2" stopIfTrue="1">
      <formula>OR($F9="M",$F9="A")</formula>
    </cfRule>
  </conditionalFormatting>
  <conditionalFormatting sqref="M9:M148">
    <cfRule type="expression" dxfId="2" priority="1" stopIfTrue="1">
      <formula>OR($F9="M",$F9="A")</formula>
    </cfRule>
  </conditionalFormatting>
  <dataValidations count="2">
    <dataValidation type="list" allowBlank="1" showInputMessage="1" showErrorMessage="1" sqref="F15:F147" xr:uid="{43B6E6DA-C034-4694-85F9-19F434E0409A}">
      <formula1>"SINAPI,SINAPI-I,Composição,Cotação"</formula1>
    </dataValidation>
    <dataValidation type="list" allowBlank="1" showInputMessage="1" showErrorMessage="1" sqref="N15:N147" xr:uid="{E9463FCC-D9AA-407E-8B30-0DC8B105678C}">
      <formula1>"P,D1,D2,,Z"</formula1>
    </dataValidation>
  </dataValidation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F0195-74B6-4DCC-B761-1ED86D725904}">
  <dimension ref="A1:AH85"/>
  <sheetViews>
    <sheetView tabSelected="1" workbookViewId="0">
      <selection activeCell="G34" sqref="G34"/>
    </sheetView>
  </sheetViews>
  <sheetFormatPr defaultRowHeight="15" x14ac:dyDescent="0.25"/>
  <cols>
    <col min="1" max="1" width="9.140625" style="12"/>
    <col min="2" max="2" width="24" style="12" customWidth="1"/>
    <col min="3" max="3" width="12.85546875" style="12" customWidth="1"/>
    <col min="4" max="4" width="9.5703125" style="12" bestFit="1" customWidth="1"/>
    <col min="5" max="5" width="9.140625" style="12"/>
    <col min="6" max="17" width="10.28515625" customWidth="1"/>
    <col min="18" max="34" width="9.140625" style="12"/>
  </cols>
  <sheetData>
    <row r="1" spans="1:17" s="12" customFormat="1" x14ac:dyDescent="0.25">
      <c r="A1" s="77"/>
      <c r="B1" s="77"/>
      <c r="C1" s="78" t="s">
        <v>369</v>
      </c>
      <c r="D1" s="77"/>
      <c r="E1" s="77"/>
      <c r="F1" s="77"/>
      <c r="G1" s="77"/>
      <c r="H1" s="77"/>
      <c r="I1" s="77"/>
      <c r="J1" s="77"/>
      <c r="K1" s="77"/>
      <c r="L1" s="77"/>
      <c r="M1" s="79" t="s">
        <v>370</v>
      </c>
      <c r="N1" s="80"/>
      <c r="O1" s="80"/>
      <c r="P1" s="77"/>
      <c r="Q1" s="77"/>
    </row>
    <row r="2" spans="1:17" s="12" customFormat="1" x14ac:dyDescent="0.25">
      <c r="A2" s="77"/>
      <c r="B2" s="81"/>
      <c r="C2" s="77"/>
      <c r="D2" s="82"/>
      <c r="E2" s="82"/>
      <c r="F2" s="82"/>
      <c r="G2" s="82"/>
      <c r="H2" s="82"/>
      <c r="I2" s="82"/>
      <c r="J2" s="82"/>
      <c r="K2" s="82"/>
      <c r="L2" s="82"/>
      <c r="M2" s="83" t="s">
        <v>371</v>
      </c>
      <c r="N2" s="82"/>
      <c r="O2" s="82"/>
      <c r="P2" s="77"/>
      <c r="Q2" s="77"/>
    </row>
    <row r="3" spans="1:17" s="12" customFormat="1" x14ac:dyDescent="0.25">
      <c r="A3" s="77"/>
      <c r="B3" s="77"/>
      <c r="C3" s="77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77"/>
      <c r="Q3" s="77"/>
    </row>
    <row r="4" spans="1:17" s="12" customFormat="1" x14ac:dyDescent="0.25">
      <c r="A4" s="84" t="s">
        <v>372</v>
      </c>
      <c r="B4" s="85"/>
      <c r="C4" s="86" t="s">
        <v>373</v>
      </c>
      <c r="D4" s="82"/>
      <c r="E4" s="82"/>
      <c r="F4" s="77"/>
      <c r="G4" s="84" t="s">
        <v>374</v>
      </c>
      <c r="H4" s="77"/>
      <c r="I4" s="87"/>
      <c r="J4" s="84" t="s">
        <v>375</v>
      </c>
      <c r="K4" s="87"/>
      <c r="L4" s="88"/>
      <c r="M4" s="89"/>
      <c r="N4" s="90">
        <v>0</v>
      </c>
      <c r="O4" s="88"/>
      <c r="P4" s="85"/>
      <c r="Q4" s="89"/>
    </row>
    <row r="5" spans="1:17" s="12" customFormat="1" ht="21" customHeight="1" x14ac:dyDescent="0.25">
      <c r="A5" s="129">
        <v>0</v>
      </c>
      <c r="B5" s="149"/>
      <c r="C5" s="129" t="s">
        <v>376</v>
      </c>
      <c r="D5" s="130"/>
      <c r="E5" s="130"/>
      <c r="F5" s="131"/>
      <c r="G5" s="147" t="s">
        <v>377</v>
      </c>
      <c r="H5" s="151"/>
      <c r="I5" s="152"/>
      <c r="J5" s="129" t="s">
        <v>378</v>
      </c>
      <c r="K5" s="130"/>
      <c r="L5" s="130"/>
      <c r="M5" s="131"/>
      <c r="N5" s="129">
        <v>0</v>
      </c>
      <c r="O5" s="130"/>
      <c r="P5" s="130"/>
      <c r="Q5" s="131"/>
    </row>
    <row r="6" spans="1:17" s="12" customFormat="1" x14ac:dyDescent="0.25">
      <c r="A6" s="77"/>
      <c r="B6" s="77"/>
      <c r="C6" s="77"/>
      <c r="D6" s="82"/>
      <c r="E6" s="82"/>
      <c r="F6" s="82"/>
      <c r="G6" s="82"/>
      <c r="H6" s="77"/>
      <c r="I6" s="82"/>
      <c r="J6" s="82"/>
      <c r="K6" s="82"/>
      <c r="L6" s="82"/>
      <c r="M6" s="82"/>
      <c r="N6" s="82"/>
      <c r="O6" s="82"/>
      <c r="P6" s="77"/>
      <c r="Q6" s="82"/>
    </row>
    <row r="7" spans="1:17" s="12" customFormat="1" x14ac:dyDescent="0.25">
      <c r="A7" s="86" t="s">
        <v>379</v>
      </c>
      <c r="B7" s="91"/>
      <c r="C7" s="87" t="s">
        <v>380</v>
      </c>
      <c r="D7" s="87"/>
      <c r="E7" s="91"/>
      <c r="F7" s="92" t="s">
        <v>381</v>
      </c>
      <c r="G7" s="93"/>
      <c r="H7" s="94"/>
      <c r="I7" s="145" t="s">
        <v>32</v>
      </c>
      <c r="J7" s="146"/>
      <c r="K7" s="146"/>
      <c r="L7" s="146"/>
      <c r="M7" s="146"/>
      <c r="N7" s="13"/>
      <c r="O7" s="13"/>
      <c r="P7" s="13"/>
      <c r="Q7" s="13"/>
    </row>
    <row r="8" spans="1:17" s="12" customFormat="1" x14ac:dyDescent="0.25">
      <c r="A8" s="147" t="s">
        <v>382</v>
      </c>
      <c r="B8" s="131"/>
      <c r="C8" s="148" t="s">
        <v>383</v>
      </c>
      <c r="D8" s="149"/>
      <c r="E8" s="150"/>
      <c r="F8" s="95" t="s">
        <v>31</v>
      </c>
      <c r="G8" s="96"/>
      <c r="H8" s="97"/>
      <c r="I8" s="145"/>
      <c r="J8" s="146"/>
      <c r="K8" s="146"/>
      <c r="L8" s="146"/>
      <c r="M8" s="146"/>
      <c r="N8" s="13"/>
      <c r="O8" s="13"/>
      <c r="P8" s="13"/>
      <c r="Q8" s="13"/>
    </row>
    <row r="9" spans="1:17" s="12" customFormat="1" x14ac:dyDescent="0.25">
      <c r="A9" s="77"/>
      <c r="B9" s="77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</row>
    <row r="10" spans="1:17" x14ac:dyDescent="0.25">
      <c r="A10" s="98" t="s">
        <v>384</v>
      </c>
      <c r="B10" s="137" t="s">
        <v>26</v>
      </c>
      <c r="C10" s="138"/>
      <c r="D10" s="99" t="s">
        <v>385</v>
      </c>
      <c r="E10" s="99" t="s">
        <v>386</v>
      </c>
      <c r="F10" s="124" t="s">
        <v>387</v>
      </c>
      <c r="G10" s="125">
        <v>1</v>
      </c>
      <c r="H10" s="126" t="s">
        <v>387</v>
      </c>
      <c r="I10" s="127">
        <v>2</v>
      </c>
      <c r="J10" s="126" t="s">
        <v>387</v>
      </c>
      <c r="K10" s="127">
        <v>3</v>
      </c>
      <c r="L10" s="126" t="s">
        <v>387</v>
      </c>
      <c r="M10" s="127">
        <v>4</v>
      </c>
      <c r="N10" s="126" t="s">
        <v>387</v>
      </c>
      <c r="O10" s="127">
        <v>5</v>
      </c>
      <c r="P10" s="126" t="s">
        <v>387</v>
      </c>
      <c r="Q10" s="127">
        <v>6</v>
      </c>
    </row>
    <row r="11" spans="1:17" x14ac:dyDescent="0.25">
      <c r="A11" s="100" t="s">
        <v>388</v>
      </c>
      <c r="B11" s="139"/>
      <c r="C11" s="140"/>
      <c r="D11" s="101" t="s">
        <v>389</v>
      </c>
      <c r="E11" s="102" t="s">
        <v>390</v>
      </c>
      <c r="F11" s="71" t="s">
        <v>391</v>
      </c>
      <c r="G11" s="71" t="s">
        <v>392</v>
      </c>
      <c r="H11" s="71" t="s">
        <v>391</v>
      </c>
      <c r="I11" s="71" t="s">
        <v>392</v>
      </c>
      <c r="J11" s="71" t="s">
        <v>391</v>
      </c>
      <c r="K11" s="71" t="s">
        <v>392</v>
      </c>
      <c r="L11" s="71" t="s">
        <v>391</v>
      </c>
      <c r="M11" s="71" t="s">
        <v>392</v>
      </c>
      <c r="N11" s="71" t="s">
        <v>391</v>
      </c>
      <c r="O11" s="71" t="s">
        <v>392</v>
      </c>
      <c r="P11" s="71" t="s">
        <v>391</v>
      </c>
      <c r="Q11" s="71" t="s">
        <v>392</v>
      </c>
    </row>
    <row r="12" spans="1:17" ht="20.25" customHeight="1" x14ac:dyDescent="0.25">
      <c r="A12" s="98">
        <v>1</v>
      </c>
      <c r="B12" s="141" t="s">
        <v>31</v>
      </c>
      <c r="C12" s="142"/>
      <c r="D12" s="103" t="s">
        <v>32</v>
      </c>
      <c r="E12" s="104" t="s">
        <v>32</v>
      </c>
      <c r="F12" s="73"/>
      <c r="G12" s="72">
        <v>0</v>
      </c>
      <c r="H12" s="73"/>
      <c r="I12" s="72">
        <v>0</v>
      </c>
      <c r="J12" s="73"/>
      <c r="K12" s="72">
        <v>0</v>
      </c>
      <c r="L12" s="73"/>
      <c r="M12" s="72">
        <v>0</v>
      </c>
      <c r="N12" s="73"/>
      <c r="O12" s="72">
        <v>0</v>
      </c>
      <c r="P12" s="73"/>
      <c r="Q12" s="72">
        <v>0</v>
      </c>
    </row>
    <row r="13" spans="1:17" x14ac:dyDescent="0.25">
      <c r="A13" s="105" t="s">
        <v>6</v>
      </c>
      <c r="B13" s="143" t="s">
        <v>33</v>
      </c>
      <c r="C13" s="144"/>
      <c r="D13" s="106">
        <f>'PLANILHA ORÇAMENTÁRIA'!M16</f>
        <v>12586.6058402</v>
      </c>
      <c r="E13" s="104">
        <f>D13/$D$29</f>
        <v>1.3955935808937166E-2</v>
      </c>
      <c r="F13" s="75">
        <v>100</v>
      </c>
      <c r="G13" s="74">
        <v>100</v>
      </c>
      <c r="H13" s="75"/>
      <c r="I13" s="74">
        <v>100</v>
      </c>
      <c r="J13" s="75"/>
      <c r="K13" s="74">
        <v>100</v>
      </c>
      <c r="L13" s="75"/>
      <c r="M13" s="74">
        <v>100</v>
      </c>
      <c r="N13" s="75"/>
      <c r="O13" s="74">
        <v>100</v>
      </c>
      <c r="P13" s="75"/>
      <c r="Q13" s="74">
        <v>100</v>
      </c>
    </row>
    <row r="14" spans="1:17" x14ac:dyDescent="0.25">
      <c r="A14" s="105" t="s">
        <v>64</v>
      </c>
      <c r="B14" s="143" t="s">
        <v>77</v>
      </c>
      <c r="C14" s="144"/>
      <c r="D14" s="106">
        <f>'PLANILHA ORÇAMENTÁRIA'!M27</f>
        <v>1558.6377768000002</v>
      </c>
      <c r="E14" s="104">
        <f>D14/$D$29</f>
        <v>1.7282060818121E-3</v>
      </c>
      <c r="F14" s="75">
        <v>100</v>
      </c>
      <c r="G14" s="74">
        <v>100</v>
      </c>
      <c r="H14" s="75"/>
      <c r="I14" s="74">
        <v>100</v>
      </c>
      <c r="J14" s="75"/>
      <c r="K14" s="74">
        <v>100</v>
      </c>
      <c r="L14" s="75"/>
      <c r="M14" s="74">
        <v>100</v>
      </c>
      <c r="N14" s="75"/>
      <c r="O14" s="74">
        <v>100</v>
      </c>
      <c r="P14" s="75"/>
      <c r="Q14" s="74">
        <v>100</v>
      </c>
    </row>
    <row r="15" spans="1:17" x14ac:dyDescent="0.25">
      <c r="A15" s="105" t="s">
        <v>65</v>
      </c>
      <c r="B15" s="143" t="s">
        <v>91</v>
      </c>
      <c r="C15" s="144"/>
      <c r="D15" s="106">
        <f>'PLANILHA ORÇAMENTÁRIA'!M33</f>
        <v>3948.6617749999996</v>
      </c>
      <c r="E15" s="104">
        <f>D15/$D$29</f>
        <v>4.3782470796931098E-3</v>
      </c>
      <c r="F15" s="75">
        <v>50</v>
      </c>
      <c r="G15" s="74">
        <v>50</v>
      </c>
      <c r="H15" s="75">
        <v>50</v>
      </c>
      <c r="I15" s="74">
        <v>100</v>
      </c>
      <c r="J15" s="75"/>
      <c r="K15" s="74">
        <v>100</v>
      </c>
      <c r="L15" s="75"/>
      <c r="M15" s="74">
        <v>100</v>
      </c>
      <c r="N15" s="75"/>
      <c r="O15" s="74">
        <v>100</v>
      </c>
      <c r="P15" s="75"/>
      <c r="Q15" s="74">
        <v>100</v>
      </c>
    </row>
    <row r="16" spans="1:17" x14ac:dyDescent="0.25">
      <c r="A16" s="105" t="s">
        <v>85</v>
      </c>
      <c r="B16" s="107" t="s">
        <v>110</v>
      </c>
      <c r="C16" s="108"/>
      <c r="D16" s="106">
        <f>'PLANILHA ORÇAMENTÁRIA'!M40</f>
        <v>20713.1234835</v>
      </c>
      <c r="E16" s="104">
        <f>D16/$D$29</f>
        <v>2.2966558690116389E-2</v>
      </c>
      <c r="F16" s="75"/>
      <c r="G16" s="74">
        <v>0</v>
      </c>
      <c r="H16" s="75">
        <v>100</v>
      </c>
      <c r="I16" s="74">
        <v>100</v>
      </c>
      <c r="J16" s="75"/>
      <c r="K16" s="74">
        <v>100</v>
      </c>
      <c r="L16" s="75"/>
      <c r="M16" s="74">
        <v>100</v>
      </c>
      <c r="N16" s="75"/>
      <c r="O16" s="74">
        <v>100</v>
      </c>
      <c r="P16" s="75"/>
      <c r="Q16" s="74">
        <v>100</v>
      </c>
    </row>
    <row r="17" spans="1:17" x14ac:dyDescent="0.25">
      <c r="A17" s="105" t="s">
        <v>98</v>
      </c>
      <c r="B17" s="107" t="s">
        <v>135</v>
      </c>
      <c r="C17" s="108"/>
      <c r="D17" s="106">
        <f>'PLANILHA ORÇAMENTÁRIA'!M47</f>
        <v>241185.916027</v>
      </c>
      <c r="E17" s="104">
        <f>D17/$D$29</f>
        <v>0.26742516646878939</v>
      </c>
      <c r="F17" s="75"/>
      <c r="G17" s="74">
        <v>0</v>
      </c>
      <c r="H17" s="75">
        <v>75</v>
      </c>
      <c r="I17" s="74">
        <v>75</v>
      </c>
      <c r="J17" s="75">
        <v>25</v>
      </c>
      <c r="K17" s="74">
        <v>100</v>
      </c>
      <c r="L17" s="75"/>
      <c r="M17" s="74">
        <v>100</v>
      </c>
      <c r="N17" s="75"/>
      <c r="O17" s="74">
        <v>100</v>
      </c>
      <c r="P17" s="75"/>
      <c r="Q17" s="74">
        <v>100</v>
      </c>
    </row>
    <row r="18" spans="1:17" x14ac:dyDescent="0.25">
      <c r="A18" s="105" t="s">
        <v>116</v>
      </c>
      <c r="B18" s="107" t="s">
        <v>158</v>
      </c>
      <c r="C18" s="108"/>
      <c r="D18" s="106">
        <f>'PLANILHA ORÇAMENTÁRIA'!M58</f>
        <v>126152.29822830002</v>
      </c>
      <c r="E18" s="104">
        <f>D18/$D$29</f>
        <v>0.1398767386995633</v>
      </c>
      <c r="F18" s="75"/>
      <c r="G18" s="74">
        <v>0</v>
      </c>
      <c r="H18" s="75"/>
      <c r="I18" s="74">
        <v>0</v>
      </c>
      <c r="J18" s="75">
        <v>100</v>
      </c>
      <c r="K18" s="74">
        <v>100</v>
      </c>
      <c r="L18" s="75"/>
      <c r="M18" s="74">
        <v>100</v>
      </c>
      <c r="N18" s="75"/>
      <c r="O18" s="74">
        <v>100</v>
      </c>
      <c r="P18" s="75"/>
      <c r="Q18" s="74">
        <v>100</v>
      </c>
    </row>
    <row r="19" spans="1:17" x14ac:dyDescent="0.25">
      <c r="A19" s="105" t="s">
        <v>146</v>
      </c>
      <c r="B19" s="107" t="s">
        <v>169</v>
      </c>
      <c r="C19" s="108"/>
      <c r="D19" s="106">
        <f>'PLANILHA ORÇAMENTÁRIA'!M67</f>
        <v>67281.774885000006</v>
      </c>
      <c r="E19" s="104">
        <f>D19/$D$29</f>
        <v>7.4601536214587663E-2</v>
      </c>
      <c r="F19" s="75"/>
      <c r="G19" s="74">
        <v>0</v>
      </c>
      <c r="H19" s="75"/>
      <c r="I19" s="74">
        <v>0</v>
      </c>
      <c r="J19" s="75">
        <v>100</v>
      </c>
      <c r="K19" s="74">
        <v>100</v>
      </c>
      <c r="L19" s="75"/>
      <c r="M19" s="74">
        <v>100</v>
      </c>
      <c r="N19" s="75"/>
      <c r="O19" s="74">
        <v>100</v>
      </c>
      <c r="P19" s="75"/>
      <c r="Q19" s="74">
        <v>100</v>
      </c>
    </row>
    <row r="20" spans="1:17" x14ac:dyDescent="0.25">
      <c r="A20" s="105" t="s">
        <v>165</v>
      </c>
      <c r="B20" s="107" t="s">
        <v>180</v>
      </c>
      <c r="C20" s="108"/>
      <c r="D20" s="106">
        <f>'PLANILHA ORÇAMENTÁRIA'!M73</f>
        <v>8032.12</v>
      </c>
      <c r="E20" s="104">
        <f>D20/$D$29</f>
        <v>8.9059554698742525E-3</v>
      </c>
      <c r="F20" s="75"/>
      <c r="G20" s="74">
        <v>0</v>
      </c>
      <c r="H20" s="75"/>
      <c r="I20" s="74">
        <v>0</v>
      </c>
      <c r="J20" s="75">
        <v>100</v>
      </c>
      <c r="K20" s="74">
        <v>100</v>
      </c>
      <c r="L20" s="75"/>
      <c r="M20" s="74">
        <v>100</v>
      </c>
      <c r="N20" s="75"/>
      <c r="O20" s="74">
        <v>100</v>
      </c>
      <c r="P20" s="75"/>
      <c r="Q20" s="74">
        <v>100</v>
      </c>
    </row>
    <row r="21" spans="1:17" x14ac:dyDescent="0.25">
      <c r="A21" s="105" t="s">
        <v>177</v>
      </c>
      <c r="B21" s="107" t="s">
        <v>202</v>
      </c>
      <c r="C21" s="108"/>
      <c r="D21" s="106">
        <f>'PLANILHA ORÇAMENTÁRIA'!M75</f>
        <v>27088.797739999998</v>
      </c>
      <c r="E21" s="104">
        <f>D21/$D$29</f>
        <v>3.0035859325417233E-2</v>
      </c>
      <c r="F21" s="75"/>
      <c r="G21" s="74">
        <v>0</v>
      </c>
      <c r="H21" s="75">
        <v>30</v>
      </c>
      <c r="I21" s="74">
        <v>30</v>
      </c>
      <c r="J21" s="75">
        <v>50</v>
      </c>
      <c r="K21" s="74">
        <v>80</v>
      </c>
      <c r="L21" s="75">
        <v>20</v>
      </c>
      <c r="M21" s="74">
        <v>100</v>
      </c>
      <c r="N21" s="75"/>
      <c r="O21" s="74">
        <v>100</v>
      </c>
      <c r="P21" s="75"/>
      <c r="Q21" s="74">
        <v>100</v>
      </c>
    </row>
    <row r="22" spans="1:17" x14ac:dyDescent="0.25">
      <c r="A22" s="105" t="s">
        <v>182</v>
      </c>
      <c r="B22" s="107" t="s">
        <v>258</v>
      </c>
      <c r="C22" s="108"/>
      <c r="D22" s="106">
        <f>'PLANILHA ORÇAMENTÁRIA'!M86</f>
        <v>45738.188940000007</v>
      </c>
      <c r="E22" s="104">
        <f>D22/$D$29</f>
        <v>5.0714166866572596E-2</v>
      </c>
      <c r="F22" s="75"/>
      <c r="G22" s="74">
        <v>0</v>
      </c>
      <c r="H22" s="75"/>
      <c r="I22" s="74">
        <v>0</v>
      </c>
      <c r="J22" s="75">
        <v>30</v>
      </c>
      <c r="K22" s="74">
        <v>30</v>
      </c>
      <c r="L22" s="75">
        <v>50</v>
      </c>
      <c r="M22" s="74">
        <v>80</v>
      </c>
      <c r="N22" s="75">
        <v>20</v>
      </c>
      <c r="O22" s="74">
        <v>100</v>
      </c>
      <c r="P22" s="75"/>
      <c r="Q22" s="74">
        <v>100</v>
      </c>
    </row>
    <row r="23" spans="1:17" ht="22.5" x14ac:dyDescent="0.25">
      <c r="A23" s="105" t="s">
        <v>215</v>
      </c>
      <c r="B23" s="107" t="s">
        <v>269</v>
      </c>
      <c r="C23" s="108"/>
      <c r="D23" s="106">
        <f>'PLANILHA ORÇAMENTÁRIA'!M97</f>
        <v>47232.278407999998</v>
      </c>
      <c r="E23" s="104">
        <f>D23/$D$29</f>
        <v>5.2370802259223109E-2</v>
      </c>
      <c r="F23" s="75"/>
      <c r="G23" s="74">
        <v>0</v>
      </c>
      <c r="H23" s="75"/>
      <c r="I23" s="74">
        <v>0</v>
      </c>
      <c r="J23" s="75">
        <v>30</v>
      </c>
      <c r="K23" s="74">
        <v>30</v>
      </c>
      <c r="L23" s="75">
        <v>70</v>
      </c>
      <c r="M23" s="74">
        <v>100</v>
      </c>
      <c r="N23" s="75"/>
      <c r="O23" s="74">
        <v>100</v>
      </c>
      <c r="P23" s="75"/>
      <c r="Q23" s="74">
        <v>100</v>
      </c>
    </row>
    <row r="24" spans="1:17" x14ac:dyDescent="0.25">
      <c r="A24" s="105" t="s">
        <v>236</v>
      </c>
      <c r="B24" s="107" t="s">
        <v>292</v>
      </c>
      <c r="C24" s="108"/>
      <c r="D24" s="106">
        <f>'PLANILHA ORÇAMENTÁRIA'!M109</f>
        <v>116908.430013</v>
      </c>
      <c r="E24" s="104">
        <f>D24/$D$29</f>
        <v>0.12962720573754979</v>
      </c>
      <c r="F24" s="75"/>
      <c r="G24" s="74">
        <v>0</v>
      </c>
      <c r="H24" s="75"/>
      <c r="I24" s="74">
        <v>0</v>
      </c>
      <c r="J24" s="75"/>
      <c r="K24" s="74">
        <v>0</v>
      </c>
      <c r="L24" s="75">
        <v>40</v>
      </c>
      <c r="M24" s="74">
        <v>40</v>
      </c>
      <c r="N24" s="75">
        <v>50</v>
      </c>
      <c r="O24" s="74">
        <v>90</v>
      </c>
      <c r="P24" s="75">
        <v>10</v>
      </c>
      <c r="Q24" s="74">
        <v>100</v>
      </c>
    </row>
    <row r="25" spans="1:17" x14ac:dyDescent="0.25">
      <c r="A25" s="105" t="s">
        <v>281</v>
      </c>
      <c r="B25" s="107" t="s">
        <v>318</v>
      </c>
      <c r="C25" s="108"/>
      <c r="D25" s="106">
        <f>'PLANILHA ORÇAMENTÁRIA'!M120</f>
        <v>89062.395268299995</v>
      </c>
      <c r="E25" s="104">
        <f>D25/$D$29</f>
        <v>9.8751727601158731E-2</v>
      </c>
      <c r="F25" s="75"/>
      <c r="G25" s="74">
        <v>0</v>
      </c>
      <c r="H25" s="75"/>
      <c r="I25" s="74">
        <v>0</v>
      </c>
      <c r="J25" s="75"/>
      <c r="K25" s="74">
        <v>0</v>
      </c>
      <c r="L25" s="75"/>
      <c r="M25" s="74">
        <v>0</v>
      </c>
      <c r="N25" s="75">
        <v>50</v>
      </c>
      <c r="O25" s="74">
        <v>50</v>
      </c>
      <c r="P25" s="75">
        <v>50</v>
      </c>
      <c r="Q25" s="74">
        <v>100</v>
      </c>
    </row>
    <row r="26" spans="1:17" x14ac:dyDescent="0.25">
      <c r="A26" s="105" t="s">
        <v>301</v>
      </c>
      <c r="B26" s="107" t="s">
        <v>326</v>
      </c>
      <c r="C26" s="108"/>
      <c r="D26" s="106">
        <f>'PLANILHA ORÇAMENTÁRIA'!M127</f>
        <v>13479.005299999999</v>
      </c>
      <c r="E26" s="104">
        <f>D26/$D$29</f>
        <v>1.4945421754156937E-2</v>
      </c>
      <c r="F26" s="75"/>
      <c r="G26" s="74">
        <v>0</v>
      </c>
      <c r="H26" s="75"/>
      <c r="I26" s="74">
        <v>0</v>
      </c>
      <c r="J26" s="75"/>
      <c r="K26" s="74">
        <v>0</v>
      </c>
      <c r="L26" s="75"/>
      <c r="M26" s="74">
        <v>0</v>
      </c>
      <c r="N26" s="75">
        <v>50</v>
      </c>
      <c r="O26" s="74">
        <v>50</v>
      </c>
      <c r="P26" s="75">
        <v>50</v>
      </c>
      <c r="Q26" s="74">
        <v>100</v>
      </c>
    </row>
    <row r="27" spans="1:17" ht="15.75" thickBot="1" x14ac:dyDescent="0.3">
      <c r="A27" s="105" t="s">
        <v>325</v>
      </c>
      <c r="B27" s="107" t="s">
        <v>353</v>
      </c>
      <c r="C27" s="108"/>
      <c r="D27" s="106">
        <f>'PLANILHA ORÇAMENTÁRIA'!M135</f>
        <v>80913.661768999998</v>
      </c>
      <c r="E27" s="104">
        <f>D27/$D$29</f>
        <v>8.9716471942548254E-2</v>
      </c>
      <c r="F27" s="75"/>
      <c r="G27" s="74">
        <v>0</v>
      </c>
      <c r="H27" s="75"/>
      <c r="I27" s="74">
        <v>0</v>
      </c>
      <c r="J27" s="75"/>
      <c r="K27" s="74">
        <v>0</v>
      </c>
      <c r="L27" s="75">
        <v>40</v>
      </c>
      <c r="M27" s="74">
        <v>40</v>
      </c>
      <c r="N27" s="75">
        <v>30</v>
      </c>
      <c r="O27" s="74">
        <v>70</v>
      </c>
      <c r="P27" s="75">
        <v>30</v>
      </c>
      <c r="Q27" s="74">
        <v>100</v>
      </c>
    </row>
    <row r="28" spans="1:17" ht="15.75" thickTop="1" x14ac:dyDescent="0.25">
      <c r="A28" s="109"/>
      <c r="B28" s="110" t="s">
        <v>393</v>
      </c>
      <c r="C28" s="111"/>
      <c r="D28" s="112"/>
      <c r="E28" s="112"/>
      <c r="F28" s="153">
        <v>1.7899999999999999E-2</v>
      </c>
      <c r="G28" s="153">
        <v>1.7899999999999999E-2</v>
      </c>
      <c r="H28" s="153">
        <v>0.22570000000000001</v>
      </c>
      <c r="I28" s="153">
        <f>G28+H28</f>
        <v>0.24360000000000001</v>
      </c>
      <c r="J28" s="153">
        <v>0.33617999999999998</v>
      </c>
      <c r="K28" s="153">
        <f>I28+J28</f>
        <v>0.57977999999999996</v>
      </c>
      <c r="L28" s="153">
        <v>0.1575</v>
      </c>
      <c r="M28" s="153">
        <f>L28+K28</f>
        <v>0.73727999999999994</v>
      </c>
      <c r="N28" s="153">
        <v>0.15870000000000001</v>
      </c>
      <c r="O28" s="153">
        <f>N28+M28</f>
        <v>0.89598</v>
      </c>
      <c r="P28" s="153">
        <v>0.104</v>
      </c>
      <c r="Q28" s="153">
        <f>P28+O28</f>
        <v>0.99997999999999998</v>
      </c>
    </row>
    <row r="29" spans="1:17" x14ac:dyDescent="0.25">
      <c r="A29" s="113"/>
      <c r="B29" s="114" t="s">
        <v>394</v>
      </c>
      <c r="C29" s="115"/>
      <c r="D29" s="116">
        <f>SUM(D13:D27)</f>
        <v>901881.89545409998</v>
      </c>
      <c r="E29" s="117">
        <f>SUM(E13:E27)</f>
        <v>1</v>
      </c>
      <c r="F29" s="76">
        <f>D29*F28</f>
        <v>16143.685928628389</v>
      </c>
      <c r="G29" s="76">
        <f>F29</f>
        <v>16143.685928628389</v>
      </c>
      <c r="H29" s="76">
        <f>D29*H28</f>
        <v>203554.74380399036</v>
      </c>
      <c r="I29" s="76">
        <f>H29+G29</f>
        <v>219698.42973261877</v>
      </c>
      <c r="J29" s="76">
        <f>D29*J28</f>
        <v>303194.6556137593</v>
      </c>
      <c r="K29" s="76">
        <f>SUM(F29+H29+J29)</f>
        <v>522893.08534637804</v>
      </c>
      <c r="L29" s="76">
        <f>L28*D29</f>
        <v>142046.39853402076</v>
      </c>
      <c r="M29" s="76">
        <f>K29+L29</f>
        <v>664939.4838803988</v>
      </c>
      <c r="N29" s="76">
        <f>N28*D29</f>
        <v>143128.65680856566</v>
      </c>
      <c r="O29" s="76">
        <f>M29+N29</f>
        <v>808068.1406889644</v>
      </c>
      <c r="P29" s="76">
        <f>P28*D29</f>
        <v>93795.717127226395</v>
      </c>
      <c r="Q29" s="76">
        <v>901881.9</v>
      </c>
    </row>
    <row r="30" spans="1:17" s="12" customFormat="1" x14ac:dyDescent="0.25">
      <c r="A30" s="118"/>
      <c r="B30" s="87"/>
      <c r="C30" s="8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80"/>
      <c r="P30" s="77"/>
      <c r="Q30" s="77"/>
    </row>
    <row r="31" spans="1:17" s="12" customFormat="1" x14ac:dyDescent="0.25">
      <c r="A31" s="119" t="s">
        <v>447</v>
      </c>
      <c r="B31" s="119"/>
      <c r="C31" s="119"/>
      <c r="D31" s="77"/>
      <c r="E31" s="77"/>
      <c r="F31" s="120"/>
      <c r="G31" s="120"/>
      <c r="H31" s="120"/>
      <c r="I31" s="77"/>
      <c r="J31" s="77"/>
      <c r="K31" s="77"/>
      <c r="L31" s="77"/>
      <c r="M31" s="123"/>
      <c r="N31" s="123"/>
      <c r="O31" s="123"/>
      <c r="P31" s="123"/>
      <c r="Q31" s="77"/>
    </row>
    <row r="32" spans="1:17" s="12" customFormat="1" x14ac:dyDescent="0.25">
      <c r="A32" s="87" t="s">
        <v>395</v>
      </c>
      <c r="B32" s="77"/>
      <c r="C32" s="77"/>
      <c r="D32" s="77"/>
      <c r="E32" s="77"/>
      <c r="F32" s="121" t="s">
        <v>445</v>
      </c>
      <c r="G32" s="121"/>
      <c r="H32" s="121"/>
      <c r="I32" s="122"/>
      <c r="J32" s="132" t="s">
        <v>396</v>
      </c>
      <c r="K32" s="133"/>
      <c r="L32" s="133"/>
      <c r="M32" s="134"/>
      <c r="N32" s="121"/>
      <c r="O32" s="121"/>
      <c r="P32" s="121"/>
      <c r="Q32" s="122"/>
    </row>
    <row r="33" spans="1:17" s="12" customFormat="1" x14ac:dyDescent="0.25">
      <c r="A33" s="77"/>
      <c r="B33" s="87"/>
      <c r="C33" s="77"/>
      <c r="D33" s="77"/>
      <c r="E33" s="77"/>
      <c r="F33" s="87" t="s">
        <v>446</v>
      </c>
      <c r="G33" s="87"/>
      <c r="H33" s="87"/>
      <c r="I33" s="77"/>
      <c r="J33" s="135" t="s">
        <v>397</v>
      </c>
      <c r="K33" s="136"/>
      <c r="L33" s="136"/>
      <c r="M33" s="136"/>
      <c r="N33" s="87"/>
      <c r="O33" s="87"/>
      <c r="P33" s="87"/>
      <c r="Q33" s="77"/>
    </row>
    <row r="34" spans="1:17" s="12" customFormat="1" x14ac:dyDescent="0.25"/>
    <row r="35" spans="1:17" s="12" customFormat="1" x14ac:dyDescent="0.25"/>
    <row r="36" spans="1:17" s="12" customFormat="1" x14ac:dyDescent="0.25"/>
    <row r="37" spans="1:17" s="12" customFormat="1" x14ac:dyDescent="0.25"/>
    <row r="38" spans="1:17" s="12" customFormat="1" x14ac:dyDescent="0.25"/>
    <row r="39" spans="1:17" s="12" customFormat="1" x14ac:dyDescent="0.25"/>
    <row r="40" spans="1:17" s="12" customFormat="1" x14ac:dyDescent="0.25"/>
    <row r="41" spans="1:17" s="12" customFormat="1" x14ac:dyDescent="0.25"/>
    <row r="42" spans="1:17" s="12" customFormat="1" x14ac:dyDescent="0.25"/>
    <row r="43" spans="1:17" s="12" customFormat="1" x14ac:dyDescent="0.25"/>
    <row r="44" spans="1:17" s="12" customFormat="1" x14ac:dyDescent="0.25"/>
    <row r="45" spans="1:17" s="12" customFormat="1" x14ac:dyDescent="0.25"/>
    <row r="46" spans="1:17" s="12" customFormat="1" x14ac:dyDescent="0.25"/>
    <row r="47" spans="1:17" s="12" customFormat="1" x14ac:dyDescent="0.25"/>
    <row r="48" spans="1:17" s="12" customFormat="1" x14ac:dyDescent="0.25"/>
    <row r="49" s="12" customFormat="1" x14ac:dyDescent="0.25"/>
    <row r="50" s="12" customFormat="1" x14ac:dyDescent="0.25"/>
    <row r="51" s="12" customFormat="1" x14ac:dyDescent="0.25"/>
    <row r="52" s="12" customFormat="1" x14ac:dyDescent="0.25"/>
    <row r="53" s="12" customFormat="1" x14ac:dyDescent="0.25"/>
    <row r="54" s="12" customFormat="1" x14ac:dyDescent="0.25"/>
    <row r="55" s="12" customFormat="1" x14ac:dyDescent="0.25"/>
    <row r="56" s="12" customFormat="1" x14ac:dyDescent="0.25"/>
    <row r="57" s="12" customFormat="1" x14ac:dyDescent="0.25"/>
    <row r="58" s="12" customFormat="1" x14ac:dyDescent="0.25"/>
    <row r="59" s="12" customFormat="1" x14ac:dyDescent="0.25"/>
    <row r="60" s="12" customFormat="1" x14ac:dyDescent="0.25"/>
    <row r="61" s="12" customFormat="1" x14ac:dyDescent="0.25"/>
    <row r="62" s="12" customFormat="1" x14ac:dyDescent="0.25"/>
    <row r="63" s="12" customFormat="1" x14ac:dyDescent="0.25"/>
    <row r="64" s="12" customFormat="1" x14ac:dyDescent="0.25"/>
    <row r="65" s="12" customFormat="1" x14ac:dyDescent="0.25"/>
    <row r="66" s="12" customFormat="1" x14ac:dyDescent="0.25"/>
    <row r="67" s="12" customFormat="1" x14ac:dyDescent="0.25"/>
    <row r="68" s="12" customFormat="1" x14ac:dyDescent="0.25"/>
    <row r="69" s="12" customFormat="1" x14ac:dyDescent="0.25"/>
    <row r="70" s="12" customFormat="1" x14ac:dyDescent="0.25"/>
    <row r="71" s="12" customFormat="1" x14ac:dyDescent="0.25"/>
    <row r="72" s="12" customFormat="1" x14ac:dyDescent="0.25"/>
    <row r="73" s="12" customFormat="1" x14ac:dyDescent="0.25"/>
    <row r="74" s="12" customFormat="1" x14ac:dyDescent="0.25"/>
    <row r="75" s="12" customFormat="1" x14ac:dyDescent="0.25"/>
    <row r="76" s="12" customFormat="1" x14ac:dyDescent="0.25"/>
    <row r="77" s="12" customFormat="1" x14ac:dyDescent="0.25"/>
    <row r="78" s="12" customFormat="1" x14ac:dyDescent="0.25"/>
    <row r="79" s="12" customFormat="1" x14ac:dyDescent="0.25"/>
    <row r="80" s="12" customFormat="1" x14ac:dyDescent="0.25"/>
    <row r="81" s="12" customFormat="1" x14ac:dyDescent="0.25"/>
    <row r="82" s="12" customFormat="1" x14ac:dyDescent="0.25"/>
    <row r="83" s="12" customFormat="1" x14ac:dyDescent="0.25"/>
    <row r="84" s="12" customFormat="1" x14ac:dyDescent="0.25"/>
    <row r="85" s="12" customFormat="1" x14ac:dyDescent="0.25"/>
  </sheetData>
  <mergeCells count="15">
    <mergeCell ref="N5:Q5"/>
    <mergeCell ref="J32:M32"/>
    <mergeCell ref="J33:M33"/>
    <mergeCell ref="B10:C11"/>
    <mergeCell ref="B12:C12"/>
    <mergeCell ref="B13:C13"/>
    <mergeCell ref="B14:C14"/>
    <mergeCell ref="B15:C15"/>
    <mergeCell ref="I7:M8"/>
    <mergeCell ref="A8:B8"/>
    <mergeCell ref="C8:E8"/>
    <mergeCell ref="A5:B5"/>
    <mergeCell ref="C5:F5"/>
    <mergeCell ref="G5:I5"/>
    <mergeCell ref="J5:M5"/>
  </mergeCells>
  <phoneticPr fontId="15" type="noConversion"/>
  <conditionalFormatting sqref="F12:F27 H12:H27 J12:J27 L12:L27 N12:N27 P12:P27">
    <cfRule type="expression" dxfId="1" priority="3" stopIfTrue="1">
      <formula>OR($BI12&lt;&gt;"A",E12&gt;99.9999)</formula>
    </cfRule>
    <cfRule type="expression" dxfId="0" priority="4" stopIfTrue="1">
      <formula>AND($BI12="A")</formula>
    </cfRule>
  </conditionalFormatting>
  <dataValidations count="1">
    <dataValidation type="decimal" operator="lessThanOrEqual" allowBlank="1" showInputMessage="1" showErrorMessage="1" error="Soma das porcentagens maior que 100%" sqref="F12:Q27" xr:uid="{097FC6BB-7D10-4979-A30B-1A154EE53819}">
      <formula1>IF($BI12="A",100-$BG12+F12,0)</formula1>
    </dataValidation>
  </dataValidations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PLANILHA ORÇAMENTÁRIA</vt:lpstr>
      <vt:lpstr>CRONOGRAMA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Usuário do Windows</dc:creator>
  <cp:lastModifiedBy>Usuário do Windows</cp:lastModifiedBy>
  <dcterms:created xsi:type="dcterms:W3CDTF">2022-01-04T13:42:29Z</dcterms:created>
  <dcterms:modified xsi:type="dcterms:W3CDTF">2022-11-03T13:30:26Z</dcterms:modified>
</cp:coreProperties>
</file>