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 activeTab="1"/>
  </bookViews>
  <sheets>
    <sheet name="PLANILHA ORÇAMENTÁRIA" sheetId="1" r:id="rId1"/>
    <sheet name="CRONOGRAMA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" l="1"/>
  <c r="D37" i="2" l="1"/>
  <c r="Z37" i="2" s="1"/>
  <c r="N51" i="1"/>
  <c r="N45" i="1"/>
  <c r="N39" i="1"/>
  <c r="N33" i="1"/>
  <c r="N27" i="1"/>
  <c r="N22" i="1"/>
  <c r="N16" i="1"/>
  <c r="M135" i="1"/>
  <c r="N135" i="1"/>
  <c r="M149" i="1"/>
  <c r="N149" i="1" s="1"/>
  <c r="M148" i="1"/>
  <c r="N148" i="1" s="1"/>
  <c r="M141" i="1"/>
  <c r="N141" i="1" s="1"/>
  <c r="M140" i="1"/>
  <c r="N140" i="1" s="1"/>
  <c r="M132" i="1"/>
  <c r="N132" i="1" s="1"/>
  <c r="M126" i="1"/>
  <c r="N126" i="1" s="1"/>
  <c r="M125" i="1"/>
  <c r="N125" i="1" s="1"/>
  <c r="M119" i="1"/>
  <c r="N119" i="1" s="1"/>
  <c r="M113" i="1"/>
  <c r="N113" i="1" s="1"/>
  <c r="M106" i="1"/>
  <c r="N106" i="1" s="1"/>
  <c r="L36" i="2"/>
  <c r="R36" i="2"/>
  <c r="P36" i="2"/>
  <c r="N36" i="2"/>
  <c r="J36" i="2"/>
  <c r="F36" i="2"/>
  <c r="H36" i="2"/>
  <c r="T36" i="2"/>
  <c r="V36" i="2"/>
  <c r="X36" i="2"/>
  <c r="AB36" i="2"/>
  <c r="I36" i="2"/>
  <c r="K142" i="1"/>
  <c r="K137" i="1"/>
  <c r="I37" i="2" l="1"/>
  <c r="P37" i="2"/>
  <c r="E24" i="2"/>
  <c r="N37" i="2"/>
  <c r="E21" i="2"/>
  <c r="E20" i="2"/>
  <c r="E18" i="2"/>
  <c r="E17" i="2"/>
  <c r="F37" i="2"/>
  <c r="G37" i="2"/>
  <c r="E33" i="2"/>
  <c r="E32" i="2"/>
  <c r="E26" i="2"/>
  <c r="E31" i="2"/>
  <c r="E25" i="2"/>
  <c r="E30" i="2"/>
  <c r="E29" i="2"/>
  <c r="E23" i="2"/>
  <c r="E28" i="2"/>
  <c r="X37" i="2"/>
  <c r="E19" i="2"/>
  <c r="T37" i="2"/>
  <c r="V37" i="2"/>
  <c r="E16" i="2"/>
  <c r="E13" i="2"/>
  <c r="E15" i="2"/>
  <c r="E27" i="2"/>
  <c r="E14" i="2"/>
  <c r="R37" i="2"/>
  <c r="J37" i="2"/>
  <c r="E35" i="2"/>
  <c r="E22" i="2"/>
  <c r="E34" i="2"/>
  <c r="H37" i="2"/>
  <c r="L37" i="2"/>
  <c r="K36" i="2"/>
  <c r="M36" i="2" s="1"/>
  <c r="O36" i="2" s="1"/>
  <c r="Q36" i="2" s="1"/>
  <c r="S36" i="2" s="1"/>
  <c r="U36" i="2" s="1"/>
  <c r="W36" i="2" s="1"/>
  <c r="Y36" i="2" s="1"/>
  <c r="AA36" i="2" s="1"/>
  <c r="AC36" i="2" s="1"/>
  <c r="AB37" i="2"/>
  <c r="K116" i="1"/>
  <c r="M120" i="1"/>
  <c r="N120" i="1" s="1"/>
  <c r="M116" i="1"/>
  <c r="K110" i="1"/>
  <c r="M114" i="1"/>
  <c r="N114" i="1" s="1"/>
  <c r="M110" i="1"/>
  <c r="N110" i="1" s="1"/>
  <c r="M151" i="1"/>
  <c r="N151" i="1" s="1"/>
  <c r="M150" i="1"/>
  <c r="K150" i="1"/>
  <c r="M147" i="1"/>
  <c r="N147" i="1" s="1"/>
  <c r="M146" i="1"/>
  <c r="N146" i="1" s="1"/>
  <c r="M145" i="1"/>
  <c r="K145" i="1"/>
  <c r="M143" i="1"/>
  <c r="N143" i="1" s="1"/>
  <c r="M142" i="1"/>
  <c r="N142" i="1" s="1"/>
  <c r="M139" i="1"/>
  <c r="N139" i="1" s="1"/>
  <c r="M138" i="1"/>
  <c r="N138" i="1" s="1"/>
  <c r="M137" i="1"/>
  <c r="M134" i="1"/>
  <c r="N134" i="1" s="1"/>
  <c r="M133" i="1"/>
  <c r="N133" i="1" s="1"/>
  <c r="M131" i="1"/>
  <c r="N131" i="1" s="1"/>
  <c r="M130" i="1"/>
  <c r="K130" i="1"/>
  <c r="M129" i="1"/>
  <c r="M128" i="1"/>
  <c r="N128" i="1" s="1"/>
  <c r="M127" i="1"/>
  <c r="N127" i="1" s="1"/>
  <c r="M124" i="1"/>
  <c r="N124" i="1" s="1"/>
  <c r="M123" i="1"/>
  <c r="N123" i="1" s="1"/>
  <c r="M122" i="1"/>
  <c r="K122" i="1"/>
  <c r="N122" i="1" s="1"/>
  <c r="N121" i="1" s="1"/>
  <c r="M118" i="1"/>
  <c r="N118" i="1" s="1"/>
  <c r="M117" i="1"/>
  <c r="N117" i="1" s="1"/>
  <c r="M112" i="1"/>
  <c r="N112" i="1" s="1"/>
  <c r="M111" i="1"/>
  <c r="N111" i="1" s="1"/>
  <c r="M108" i="1"/>
  <c r="N108" i="1" s="1"/>
  <c r="M107" i="1"/>
  <c r="N107" i="1" s="1"/>
  <c r="M105" i="1"/>
  <c r="N105" i="1" s="1"/>
  <c r="M104" i="1"/>
  <c r="K104" i="1"/>
  <c r="M97" i="1"/>
  <c r="N97" i="1" s="1"/>
  <c r="M98" i="1"/>
  <c r="N98" i="1" s="1"/>
  <c r="M99" i="1"/>
  <c r="N99" i="1" s="1"/>
  <c r="M100" i="1"/>
  <c r="M101" i="1"/>
  <c r="N101" i="1" s="1"/>
  <c r="M91" i="1"/>
  <c r="N91" i="1" s="1"/>
  <c r="M92" i="1"/>
  <c r="N92" i="1" s="1"/>
  <c r="M93" i="1"/>
  <c r="N93" i="1" s="1"/>
  <c r="M94" i="1"/>
  <c r="M95" i="1"/>
  <c r="N95" i="1" s="1"/>
  <c r="M79" i="1"/>
  <c r="N79" i="1" s="1"/>
  <c r="M80" i="1"/>
  <c r="N80" i="1" s="1"/>
  <c r="M81" i="1"/>
  <c r="N81" i="1" s="1"/>
  <c r="M82" i="1"/>
  <c r="M83" i="1"/>
  <c r="N83" i="1" s="1"/>
  <c r="M84" i="1"/>
  <c r="M85" i="1"/>
  <c r="N85" i="1" s="1"/>
  <c r="M86" i="1"/>
  <c r="N86" i="1" s="1"/>
  <c r="M87" i="1"/>
  <c r="N87" i="1" s="1"/>
  <c r="M88" i="1"/>
  <c r="M89" i="1"/>
  <c r="N89" i="1" s="1"/>
  <c r="M74" i="1"/>
  <c r="N74" i="1" s="1"/>
  <c r="M75" i="1"/>
  <c r="N75" i="1" s="1"/>
  <c r="M76" i="1"/>
  <c r="M77" i="1"/>
  <c r="N77" i="1" s="1"/>
  <c r="M73" i="1"/>
  <c r="N73" i="1" s="1"/>
  <c r="M68" i="1"/>
  <c r="N68" i="1" s="1"/>
  <c r="M69" i="1"/>
  <c r="N69" i="1" s="1"/>
  <c r="M70" i="1"/>
  <c r="M71" i="1"/>
  <c r="N71" i="1" s="1"/>
  <c r="M67" i="1"/>
  <c r="N67" i="1" s="1"/>
  <c r="M61" i="1"/>
  <c r="M62" i="1"/>
  <c r="M63" i="1"/>
  <c r="M64" i="1"/>
  <c r="N64" i="1" s="1"/>
  <c r="M65" i="1"/>
  <c r="N65" i="1" s="1"/>
  <c r="M56" i="1"/>
  <c r="M57" i="1"/>
  <c r="M58" i="1"/>
  <c r="M59" i="1"/>
  <c r="N59" i="1" s="1"/>
  <c r="N54" i="1" s="1"/>
  <c r="M55" i="1"/>
  <c r="M53" i="1"/>
  <c r="M52" i="1"/>
  <c r="M47" i="1"/>
  <c r="M48" i="1"/>
  <c r="M49" i="1"/>
  <c r="M50" i="1"/>
  <c r="M46" i="1"/>
  <c r="M41" i="1"/>
  <c r="M42" i="1"/>
  <c r="M43" i="1"/>
  <c r="M44" i="1"/>
  <c r="M40" i="1"/>
  <c r="M35" i="1"/>
  <c r="M36" i="1"/>
  <c r="M37" i="1"/>
  <c r="M38" i="1"/>
  <c r="M34" i="1"/>
  <c r="M29" i="1"/>
  <c r="M30" i="1"/>
  <c r="M31" i="1"/>
  <c r="M32" i="1"/>
  <c r="M28" i="1"/>
  <c r="M24" i="1"/>
  <c r="M25" i="1"/>
  <c r="M26" i="1"/>
  <c r="M23" i="1"/>
  <c r="M19" i="1"/>
  <c r="M20" i="1"/>
  <c r="M21" i="1"/>
  <c r="M18" i="1"/>
  <c r="N160" i="1"/>
  <c r="K100" i="1"/>
  <c r="K94" i="1"/>
  <c r="K88" i="1"/>
  <c r="K82" i="1"/>
  <c r="K76" i="1"/>
  <c r="K70" i="1"/>
  <c r="N116" i="1" l="1"/>
  <c r="N115" i="1"/>
  <c r="N145" i="1"/>
  <c r="N109" i="1"/>
  <c r="N72" i="1"/>
  <c r="E37" i="2"/>
  <c r="N130" i="1"/>
  <c r="N129" i="1" s="1"/>
  <c r="N150" i="1"/>
  <c r="K37" i="2"/>
  <c r="N137" i="1"/>
  <c r="N136" i="1" s="1"/>
  <c r="N104" i="1"/>
  <c r="N103" i="1" s="1"/>
  <c r="N70" i="1"/>
  <c r="N66" i="1" s="1"/>
  <c r="N100" i="1"/>
  <c r="N96" i="1" s="1"/>
  <c r="N82" i="1"/>
  <c r="N78" i="1" s="1"/>
  <c r="N76" i="1"/>
  <c r="N94" i="1"/>
  <c r="N90" i="1" s="1"/>
  <c r="N88" i="1"/>
  <c r="N84" i="1" s="1"/>
  <c r="N144" i="1" l="1"/>
  <c r="N102" i="1" s="1"/>
  <c r="M37" i="2"/>
  <c r="N62" i="1"/>
  <c r="N63" i="1"/>
  <c r="N61" i="1"/>
  <c r="N60" i="1" l="1"/>
  <c r="N15" i="1" s="1"/>
  <c r="N14" i="1" s="1"/>
  <c r="O37" i="2"/>
  <c r="Q37" i="2" l="1"/>
  <c r="S37" i="2" l="1"/>
  <c r="U37" i="2" l="1"/>
  <c r="W37" i="2" l="1"/>
  <c r="Y37" i="2" l="1"/>
  <c r="AC37" i="2" l="1"/>
  <c r="AA37" i="2"/>
</calcChain>
</file>

<file path=xl/comments1.xml><?xml version="1.0" encoding="utf-8"?>
<comments xmlns="http://schemas.openxmlformats.org/spreadsheetml/2006/main">
  <authors>
    <author>Caixa</author>
  </authors>
  <commentList>
    <comment ref="N9" authorId="0">
      <text>
        <r>
          <rPr>
            <sz val="9"/>
            <color indexed="81"/>
            <rFont val="Segoe UI"/>
            <family val="2"/>
          </rPr>
          <t xml:space="preserve">Preencher as informações na Aba "BDI".
</t>
        </r>
      </text>
    </comment>
    <comment ref="N10" authorId="0">
      <text>
        <r>
          <rPr>
            <sz val="9"/>
            <color indexed="81"/>
            <rFont val="Segoe UI"/>
            <family val="2"/>
          </rPr>
          <t xml:space="preserve">Preencher as informações na Aba "BDI".
</t>
        </r>
      </text>
    </comment>
    <comment ref="I11" authorId="0">
      <text>
        <r>
          <rPr>
            <sz val="9"/>
            <color indexed="81"/>
            <rFont val="Segoe UI"/>
            <family val="2"/>
          </rPr>
          <t xml:space="preserve">Informação da data-base vinculada ao arquivo "SINAPI mm-aaaa.xls" (conforme data-base Sinapi a ser utilizada no orçamento).
Selecionar o regime de Tributação na Aba "Informações do Contrato". 
</t>
        </r>
      </text>
    </comment>
    <comment ref="N11" authorId="0">
      <text>
        <r>
          <rPr>
            <sz val="9"/>
            <color indexed="81"/>
            <rFont val="Segoe UI"/>
            <family val="2"/>
          </rPr>
          <t xml:space="preserve">Preencher as informações na Aba "BDI".
</t>
        </r>
      </text>
    </comment>
    <comment ref="H13" authorId="0">
      <text>
        <r>
          <rPr>
            <sz val="9"/>
            <color indexed="81"/>
            <rFont val="Segoe UI"/>
            <family val="2"/>
          </rPr>
          <t xml:space="preserve">Preencher código SINAPI ou código inserido na Aba Composições.
</t>
        </r>
      </text>
    </comment>
    <comment ref="L13" authorId="0">
      <text>
        <r>
          <rPr>
            <sz val="9"/>
            <color indexed="81"/>
            <rFont val="Segoe UI"/>
            <family val="2"/>
          </rPr>
          <t xml:space="preserve">Preencher o custo unitário proposto para cada um dos itens da Planilha Orçamentária, podendo ser efetuado comparativo com a referência oficial na coluna "T".
</t>
        </r>
      </text>
    </comment>
    <comment ref="O13" authorId="0">
      <text>
        <r>
          <rPr>
            <sz val="9"/>
            <color indexed="81"/>
            <rFont val="Segoe UI"/>
            <family val="2"/>
          </rPr>
          <t>Preencher as informações na Aba "BDI", depois selecionar o índice de BDI a ser utilizado para o item:
P - BDI PADRÃO
D1 - BDI DIFERENCIADO 1
D2 - BDI DIFERENCIADO 2
Z - BDI ZERO</t>
        </r>
      </text>
    </comment>
    <comment ref="P13" authorId="0">
      <text>
        <r>
          <rPr>
            <sz val="9"/>
            <color indexed="81"/>
            <rFont val="Segoe UI"/>
            <family val="2"/>
          </rPr>
          <t>Preencher as informações na Aba "BDI", depois selecionar o índice de BDI a ser utilizado para o item:
P - BDI PADRÃO
D1 - BDI DIFERENCIADO 1
D2 - BDI DIFERENCIADO 2
Z - BDI ZERO</t>
        </r>
      </text>
    </comment>
    <comment ref="E15" authorId="0">
      <text>
        <r>
          <rPr>
            <sz val="9"/>
            <color indexed="81"/>
            <rFont val="Segoe UI"/>
            <family val="2"/>
          </rPr>
          <t xml:space="preserve">Selecionar:
M - Meta / Sub-Meta
A - Agrupador de Serviços
S - Itens / Subitens (Serviços, Insumos, Equipamentos, etc)
</t>
        </r>
      </text>
    </comment>
    <comment ref="I15" authorId="0">
      <text>
        <r>
          <rPr>
            <sz val="9"/>
            <color indexed="81"/>
            <rFont val="Segoe UI"/>
            <family val="2"/>
          </rPr>
          <t>Preencher na coluna "Z" o nome da Meta/Sub-Meta ou Agrupador de Serviços.</t>
        </r>
      </text>
    </comment>
    <comment ref="E102" authorId="0">
      <text>
        <r>
          <rPr>
            <sz val="9"/>
            <color indexed="81"/>
            <rFont val="Segoe UI"/>
            <family val="2"/>
          </rPr>
          <t xml:space="preserve">Selecionar:
M - Meta / Sub-Meta
A - Agrupador de Serviços
S - Itens / Subitens (Serviços, Insumos, Equipamentos, etc)
</t>
        </r>
      </text>
    </comment>
    <comment ref="I102" authorId="0">
      <text>
        <r>
          <rPr>
            <sz val="9"/>
            <color indexed="81"/>
            <rFont val="Segoe UI"/>
            <family val="2"/>
          </rPr>
          <t>Preencher na coluna "Z" o nome da Meta/Sub-Meta ou Agrupador de Serviços.</t>
        </r>
      </text>
    </comment>
  </commentList>
</comments>
</file>

<file path=xl/sharedStrings.xml><?xml version="1.0" encoding="utf-8"?>
<sst xmlns="http://schemas.openxmlformats.org/spreadsheetml/2006/main" count="1129" uniqueCount="261">
  <si>
    <t>DATA BASE SINAPI:</t>
  </si>
  <si>
    <t>LOCALIDADE SINAPI:</t>
  </si>
  <si>
    <t>ITEM</t>
  </si>
  <si>
    <t>FONTE</t>
  </si>
  <si>
    <t>CÓDIGO</t>
  </si>
  <si>
    <t>M</t>
  </si>
  <si>
    <t>A</t>
  </si>
  <si>
    <t>1.1</t>
  </si>
  <si>
    <t>S</t>
  </si>
  <si>
    <t>1.1.1</t>
  </si>
  <si>
    <t>Composição</t>
  </si>
  <si>
    <t>004</t>
  </si>
  <si>
    <t>1.1.2</t>
  </si>
  <si>
    <t>SINAPI</t>
  </si>
  <si>
    <t>94275</t>
  </si>
  <si>
    <t>1.1.3</t>
  </si>
  <si>
    <t>002</t>
  </si>
  <si>
    <t>1.1.4</t>
  </si>
  <si>
    <t>95875</t>
  </si>
  <si>
    <t>1.1.5</t>
  </si>
  <si>
    <t>003</t>
  </si>
  <si>
    <t>1.2</t>
  </si>
  <si>
    <t>1.2.1</t>
  </si>
  <si>
    <t>1.2.3</t>
  </si>
  <si>
    <t>1.2.4</t>
  </si>
  <si>
    <t>1.2.5</t>
  </si>
  <si>
    <t>CURITIBA</t>
  </si>
  <si>
    <t>DESCRIÇÃO</t>
  </si>
  <si>
    <t>UNID</t>
  </si>
  <si>
    <t>QUANT</t>
  </si>
  <si>
    <t>CUSTO UNITÁRIO (R$)</t>
  </si>
  <si>
    <t>TOTAL</t>
  </si>
  <si>
    <t>PAVIMENTAÇÃO POLIÉDRICA</t>
  </si>
  <si>
    <t/>
  </si>
  <si>
    <t>RUA CORITIBA</t>
  </si>
  <si>
    <t>Colchão de argila p/ pav. Poliédrico</t>
  </si>
  <si>
    <t>m²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</si>
  <si>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</si>
  <si>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Extração, carga, preparo e assentamento do poliedro</t>
  </si>
  <si>
    <t>TRANSPORTE COM CAMINHÃO BASCULANTE DE 10 M³, EM VIA URBANA PAVIMENTADA, DMT ATÉ 30 KM (UNIDADE: M3XKM). AF_07/2020</t>
  </si>
  <si>
    <t>M3XKM</t>
  </si>
  <si>
    <t>Enchimento c/ argila p/ pav. Poliédrico</t>
  </si>
  <si>
    <t>CEMITÉRIO RUAS C,D,E,F,G,H,O</t>
  </si>
  <si>
    <t>BDI PADRÃO:</t>
  </si>
  <si>
    <t>BDI DIFERENCIADO 1:</t>
  </si>
  <si>
    <t>BDI DIFERENCIADO 2:</t>
  </si>
  <si>
    <t>BDI ZERO:</t>
  </si>
  <si>
    <t>UNITÁRIO COM BDI (R$)</t>
  </si>
  <si>
    <t>P</t>
  </si>
  <si>
    <t>D1</t>
  </si>
  <si>
    <t>D2</t>
  </si>
  <si>
    <t>Z</t>
  </si>
  <si>
    <t>VALOR TOTAL COM BDI (R$)</t>
  </si>
  <si>
    <t xml:space="preserve">BDI </t>
  </si>
  <si>
    <t>RECURSOS</t>
  </si>
  <si>
    <t>↓</t>
  </si>
  <si>
    <t>CP</t>
  </si>
  <si>
    <t>1.3</t>
  </si>
  <si>
    <t>1.3.1</t>
  </si>
  <si>
    <t>1.3.2</t>
  </si>
  <si>
    <t>1.3.3</t>
  </si>
  <si>
    <t>1.3.4</t>
  </si>
  <si>
    <t>1.3.5</t>
  </si>
  <si>
    <t>RUA AMÉLIA DA COSTA SOARES</t>
  </si>
  <si>
    <t>1.4</t>
  </si>
  <si>
    <t>1.4.1</t>
  </si>
  <si>
    <t>1.4.2</t>
  </si>
  <si>
    <t>1.4.3</t>
  </si>
  <si>
    <t>1.4.4</t>
  </si>
  <si>
    <t>1.4.5</t>
  </si>
  <si>
    <t>RUA ATLÉTICO</t>
  </si>
  <si>
    <t>1.5.5</t>
  </si>
  <si>
    <t>1.5</t>
  </si>
  <si>
    <t>1.6.1</t>
  </si>
  <si>
    <t>1.6.2</t>
  </si>
  <si>
    <t>1.6.3</t>
  </si>
  <si>
    <t>1.6.4</t>
  </si>
  <si>
    <t>1.6.5</t>
  </si>
  <si>
    <t>RUA SANTOS</t>
  </si>
  <si>
    <t>ACESSO A RUA FERNANDO FERRARI</t>
  </si>
  <si>
    <t>1.7</t>
  </si>
  <si>
    <t>1.7.1</t>
  </si>
  <si>
    <t>SINAPI-I</t>
  </si>
  <si>
    <t>4813</t>
  </si>
  <si>
    <t>1.7.2</t>
  </si>
  <si>
    <t>34721</t>
  </si>
  <si>
    <t>1.8</t>
  </si>
  <si>
    <t>1.8.1</t>
  </si>
  <si>
    <t>1.8.2</t>
  </si>
  <si>
    <t>1.8.3</t>
  </si>
  <si>
    <t>1.8.4</t>
  </si>
  <si>
    <t>1.8.5</t>
  </si>
  <si>
    <t>PLACA DE OBRA</t>
  </si>
  <si>
    <t>PLACA DE OBRA (PARA CONSTRUCAO CIVIL) EM CHAPA GALVANIZADA *N. 22*, ADESIVADA, DE *2,4 X 1,2* M (SEM POSTES PARA FIXACAO)</t>
  </si>
  <si>
    <t xml:space="preserve">M2    </t>
  </si>
  <si>
    <t>PLACA DE SINALIZACAO EM CHAPA DE ALUMINIO COM PINTURA REFLETIVA, E = 2 MM</t>
  </si>
  <si>
    <t>ACESSO A RUA JOSÉ ALBINO SCHUASTZ</t>
  </si>
  <si>
    <t>1.5.1</t>
  </si>
  <si>
    <t>1.5.2</t>
  </si>
  <si>
    <t>1.5.3</t>
  </si>
  <si>
    <t>1.5.4</t>
  </si>
  <si>
    <t>1.6</t>
  </si>
  <si>
    <t>CRONOGRAMA FÍSICO - FINANCEIRO</t>
  </si>
  <si>
    <t>Grau de Sigilo</t>
  </si>
  <si>
    <t>#PUBLICO</t>
  </si>
  <si>
    <t>Nº da Operação</t>
  </si>
  <si>
    <t>Gestor/Programa/Modalidade/Ação</t>
  </si>
  <si>
    <t>Município/UF</t>
  </si>
  <si>
    <t>Localidade</t>
  </si>
  <si>
    <t xml:space="preserve"> / PAVIMENTAÇÃO POLIÉDRICA EM DIVERSAS VIAS</t>
  </si>
  <si>
    <t>ITAPEJARA D´OESTE/PR</t>
  </si>
  <si>
    <t>DIVERSAS VIAS URBANAS DO MUNICÍPIO</t>
  </si>
  <si>
    <t>Proponente</t>
  </si>
  <si>
    <t>Objeto</t>
  </si>
  <si>
    <t>Empreendimento/Apelido</t>
  </si>
  <si>
    <t>MUNICÍPIO DE ITAPEJARA D´OESTE</t>
  </si>
  <si>
    <t xml:space="preserve">PAVIMENTAÇÃO POLIÉDRICA </t>
  </si>
  <si>
    <t xml:space="preserve">PAVIMENTAÇÃO POLIÉDRICA DE RUAS E ACESSOS </t>
  </si>
  <si>
    <t>META/</t>
  </si>
  <si>
    <t>VALOR</t>
  </si>
  <si>
    <t>PESO</t>
  </si>
  <si>
    <t>MÊS</t>
  </si>
  <si>
    <t>AGRUPADOR</t>
  </si>
  <si>
    <t>R$</t>
  </si>
  <si>
    <t>%</t>
  </si>
  <si>
    <t>PARCELA (%)</t>
  </si>
  <si>
    <t>ACUM (%)</t>
  </si>
  <si>
    <t>Total (%):</t>
  </si>
  <si>
    <t>Total (R$):</t>
  </si>
  <si>
    <t>Local/Data</t>
  </si>
  <si>
    <t>VILMAR SCHMOLLER</t>
  </si>
  <si>
    <t>PREFEITO MUNICIPAL</t>
  </si>
  <si>
    <t>1.9</t>
  </si>
  <si>
    <t>RUA DERCILINO SCWASTZ</t>
  </si>
  <si>
    <t>RUA PRIMO BOTOLUZZI</t>
  </si>
  <si>
    <t>RUA OLIVIO TESTA</t>
  </si>
  <si>
    <t>RUA PROJETADA IR. JOSÉ BONATTO</t>
  </si>
  <si>
    <t>RUA JOÃO CARLOS LUZZI</t>
  </si>
  <si>
    <t>RUA MAXIMINO SCHUASTZ</t>
  </si>
  <si>
    <t>RUA ARMANDO DALASTRA</t>
  </si>
  <si>
    <t>Declaro que os custos unitários adotados atendem ao regime de contribuição previdenciária, sendo esta a alternativa mais adequada para a Administração</t>
  </si>
  <si>
    <t>Pública, e que o detalhamento de encargos sociais atendem ao estabelecido no SINAPI desta unidade da federação, para mão-de-obra horista e mensalista</t>
  </si>
  <si>
    <t>......................................................................................................................</t>
  </si>
  <si>
    <t>Responsável técnico pela elaboração do orçamento:</t>
  </si>
  <si>
    <t>Nome: LEANDRO H. M. SANTOS</t>
  </si>
  <si>
    <t>CREA/CAU: PR-170817/D</t>
  </si>
  <si>
    <t>ART/RRT</t>
  </si>
  <si>
    <t>Data</t>
  </si>
  <si>
    <t>m³</t>
  </si>
  <si>
    <t>102326</t>
  </si>
  <si>
    <t>ESCAVAÇÃO MECANIZADA DE VALA COM PROF. ATÉ 1,5 M (MÉDIA MONTANTE E JUSANTE/UMA COMPOSIÇÃO POR TRECHO), RETROESCAV. (0,26 M3), LARGURA MENOR  QUE 0,8 M, EM SOLO DE 2A CATEGORIA, EM LOCAIS COM BAIXO NÍVEL DE NTERFERÊNCIA. AF_02/2021</t>
  </si>
  <si>
    <t>92212</t>
  </si>
  <si>
    <t>TUBO DE CONCRETO PARA REDES COLETORAS DE ÁGUAS PLUVIAIS, DIÂMETRO DE 600 MM, JUNTA RÍGIDA, INSTALADO EM LOCAL COM BAIXO NÍVEL DE INTERFERÊNCIAS - FORNECIMENTO E ASSENTAMENTO. AF_12/2015</t>
  </si>
  <si>
    <t>92210</t>
  </si>
  <si>
    <t>TUBO DE CONCRETO PARA REDES COLETORAS DE ÁGUAS PLUVIAIS, DIÂMETRO DE 400 MM, JUNTA RÍGIDA, INSTALADO EM LOCAL COM BAIXO NÍVEL DE INTERFERÊNCIAS - FORNECIMENTO E ASSENTAMENTO. AF_12/2015</t>
  </si>
  <si>
    <t>93378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</si>
  <si>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</si>
  <si>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>43431</t>
  </si>
  <si>
    <t>CAIXA DE CONCRETO ARMADO PRE-MOLDADO, SEM FUNDO, QUADRADA, DIMENSOES DE 0,60 X 0,60 X 0,50 M</t>
  </si>
  <si>
    <t>1.9.5</t>
  </si>
  <si>
    <t>1.9.6</t>
  </si>
  <si>
    <t>1.9.7</t>
  </si>
  <si>
    <t>1.9.8</t>
  </si>
  <si>
    <t>1.9.9</t>
  </si>
  <si>
    <t>2.1</t>
  </si>
  <si>
    <t>2.1.1</t>
  </si>
  <si>
    <t>2.1.2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</si>
  <si>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</si>
  <si>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</si>
  <si>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</si>
  <si>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</si>
  <si>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</si>
  <si>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</si>
  <si>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</si>
  <si>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</si>
  <si>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2.3.3</t>
  </si>
  <si>
    <t>2.3.4</t>
  </si>
  <si>
    <t>2.4</t>
  </si>
  <si>
    <t>2.4.1</t>
  </si>
  <si>
    <t>2.4.2</t>
  </si>
  <si>
    <t>2.4.3</t>
  </si>
  <si>
    <t>2.4.4</t>
  </si>
  <si>
    <t>2.4.5</t>
  </si>
  <si>
    <t>2.5</t>
  </si>
  <si>
    <t>2.5.1</t>
  </si>
  <si>
    <t>2.5.2</t>
  </si>
  <si>
    <t>2.5.3</t>
  </si>
  <si>
    <t>2.5.4</t>
  </si>
  <si>
    <t>04/2022 (DESONERADO)</t>
  </si>
  <si>
    <t>DRENAGEM PLUVIAL</t>
  </si>
  <si>
    <t>RUA PRIMO BORTOLUZZI</t>
  </si>
  <si>
    <t>RUA PROJETADA IR JOSÉ BONATO</t>
  </si>
  <si>
    <t>RUA JOAO CARLOS LUZZI</t>
  </si>
  <si>
    <t>RUA MAXIMIMO SCHUASTZ</t>
  </si>
  <si>
    <t>1.10</t>
  </si>
  <si>
    <t>1.11</t>
  </si>
  <si>
    <t>1.12</t>
  </si>
  <si>
    <t>1.13</t>
  </si>
  <si>
    <t>1.14</t>
  </si>
  <si>
    <t>1.15</t>
  </si>
  <si>
    <t>1.10.1</t>
  </si>
  <si>
    <t>1.10.2</t>
  </si>
  <si>
    <t>1.10.3</t>
  </si>
  <si>
    <t>1.10.4</t>
  </si>
  <si>
    <t>1.10.5</t>
  </si>
  <si>
    <t>1.11.1</t>
  </si>
  <si>
    <t>1.11.2</t>
  </si>
  <si>
    <t>1.11.3</t>
  </si>
  <si>
    <t>1.11.4</t>
  </si>
  <si>
    <t>1.11.5</t>
  </si>
  <si>
    <t>1.12.1</t>
  </si>
  <si>
    <t>1.12.2</t>
  </si>
  <si>
    <t>1.12.3</t>
  </si>
  <si>
    <t>1.12.4</t>
  </si>
  <si>
    <t>1.12.5</t>
  </si>
  <si>
    <t>1.13.1</t>
  </si>
  <si>
    <t>1.13.2</t>
  </si>
  <si>
    <t>1.13.3</t>
  </si>
  <si>
    <t>1.13.4</t>
  </si>
  <si>
    <t>1.13.5</t>
  </si>
  <si>
    <t>1.14.1</t>
  </si>
  <si>
    <t>1.14.2</t>
  </si>
  <si>
    <t>1.14.3</t>
  </si>
  <si>
    <t>1.14.4</t>
  </si>
  <si>
    <t>1.14.5</t>
  </si>
  <si>
    <t>1.15.1</t>
  </si>
  <si>
    <t>1.15.2</t>
  </si>
  <si>
    <t>1.15.3</t>
  </si>
  <si>
    <t>1.15.4</t>
  </si>
  <si>
    <t>1.15.5</t>
  </si>
  <si>
    <t>2.1.3</t>
  </si>
  <si>
    <t>2.1.4</t>
  </si>
  <si>
    <t>2.6</t>
  </si>
  <si>
    <t>2.6.1</t>
  </si>
  <si>
    <t>2.6.2</t>
  </si>
  <si>
    <t>2.6.3</t>
  </si>
  <si>
    <t>2.6.4</t>
  </si>
  <si>
    <t>2.6.5</t>
  </si>
  <si>
    <t>2.7</t>
  </si>
  <si>
    <t>2.7.1</t>
  </si>
  <si>
    <t>2.7.2</t>
  </si>
  <si>
    <t>2.7.3</t>
  </si>
  <si>
    <t>2.7.4</t>
  </si>
  <si>
    <t>2.7.5</t>
  </si>
  <si>
    <t>JUNTA ARGAMASSADA ENTRE TUBO DN 400 MM E O POÇO DE VISITA/ CAIXA DE CONCRETO OU ALVENARIA EM REDES DE ESGOTO. AF_01/2021</t>
  </si>
  <si>
    <t>90730</t>
  </si>
  <si>
    <t>JUNTA ARGAMASSADA ENTRE TUBO DN 600 MM E O POÇO DE VISITA/ CAIXA DE CONCRETO OU ALVENARIA EM REDES DE ESGOTO. AF_01/2021</t>
  </si>
  <si>
    <t>90732</t>
  </si>
  <si>
    <t>2.4.6</t>
  </si>
  <si>
    <t>2.4.7</t>
  </si>
  <si>
    <t>2.7.6</t>
  </si>
  <si>
    <t>2.7.7</t>
  </si>
  <si>
    <t>2.6.6</t>
  </si>
  <si>
    <t>2.6.7</t>
  </si>
  <si>
    <t>2.3.5</t>
  </si>
  <si>
    <t>2.2.5</t>
  </si>
  <si>
    <t>2.1.5</t>
  </si>
  <si>
    <t>102738</t>
  </si>
  <si>
    <t>BOCA PARA BUEIRO SIMPLES TUBULAR D = 60 CM EM CONCRETO, ALAS COM ESCONSIDADE DE 0°, INCLUINDO FÔRMAS E MATERIAIS. AF_07/2021</t>
  </si>
  <si>
    <t>LEANDRO HENRIQUE MAAS SANTOS</t>
  </si>
  <si>
    <t>ITAPEJARA D´OESTE/PR, 07 de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</si>
</sst>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General;General;"/>
    <numFmt numFmtId="166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1"/>
      <name val="Segoe U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0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49" fontId="3" fillId="2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left" vertical="center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12" xfId="0" applyNumberFormat="1" applyFont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</xf>
    <xf numFmtId="43" fontId="3" fillId="2" borderId="12" xfId="1" applyFont="1" applyFill="1" applyBorder="1" applyAlignment="1" applyProtection="1">
      <alignment horizontal="right" vertical="center" wrapText="1"/>
      <protection locked="0"/>
    </xf>
    <xf numFmtId="2" fontId="3" fillId="0" borderId="12" xfId="0" applyNumberFormat="1" applyFont="1" applyBorder="1" applyAlignment="1">
      <alignment horizontal="left" vertical="center" wrapText="1"/>
    </xf>
    <xf numFmtId="43" fontId="3" fillId="0" borderId="14" xfId="1" applyFont="1" applyFill="1" applyBorder="1" applyAlignment="1" applyProtection="1">
      <alignment horizontal="right" vertical="center"/>
    </xf>
    <xf numFmtId="1" fontId="9" fillId="5" borderId="15" xfId="1" applyNumberFormat="1" applyFont="1" applyFill="1" applyBorder="1" applyAlignment="1" applyProtection="1">
      <alignment horizontal="center" vertical="center"/>
      <protection locked="0"/>
    </xf>
    <xf numFmtId="43" fontId="3" fillId="0" borderId="12" xfId="1" applyFont="1" applyBorder="1" applyAlignment="1">
      <alignment horizontal="right" vertical="center"/>
    </xf>
    <xf numFmtId="0" fontId="0" fillId="6" borderId="0" xfId="0" applyFill="1"/>
    <xf numFmtId="0" fontId="8" fillId="6" borderId="0" xfId="0" applyFont="1" applyFill="1"/>
    <xf numFmtId="1" fontId="7" fillId="6" borderId="0" xfId="0" applyNumberFormat="1" applyFont="1" applyFill="1" applyAlignment="1">
      <alignment horizontal="center" vertical="center" textRotation="90" wrapText="1"/>
    </xf>
    <xf numFmtId="1" fontId="9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Continuous" vertical="center"/>
    </xf>
    <xf numFmtId="0" fontId="3" fillId="6" borderId="0" xfId="0" applyFont="1" applyFill="1" applyAlignment="1">
      <alignment horizontal="centerContinuous" vertical="center"/>
    </xf>
    <xf numFmtId="41" fontId="3" fillId="6" borderId="0" xfId="0" applyNumberFormat="1" applyFont="1" applyFill="1" applyAlignment="1">
      <alignment horizontal="centerContinuous" vertical="center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right" vertical="center"/>
    </xf>
    <xf numFmtId="10" fontId="2" fillId="6" borderId="4" xfId="0" applyNumberFormat="1" applyFont="1" applyFill="1" applyBorder="1" applyAlignment="1">
      <alignment horizontal="center" vertical="center"/>
    </xf>
    <xf numFmtId="1" fontId="7" fillId="6" borderId="0" xfId="0" applyNumberFormat="1" applyFont="1" applyFill="1" applyAlignment="1">
      <alignment horizontal="center" vertical="center"/>
    </xf>
    <xf numFmtId="41" fontId="3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7" fontId="2" fillId="6" borderId="4" xfId="0" applyNumberFormat="1" applyFont="1" applyFill="1" applyBorder="1" applyAlignment="1">
      <alignment horizontal="left" vertical="center"/>
    </xf>
    <xf numFmtId="41" fontId="3" fillId="6" borderId="15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Continuous" vertical="center" wrapText="1"/>
    </xf>
    <xf numFmtId="0" fontId="3" fillId="6" borderId="3" xfId="0" applyFont="1" applyFill="1" applyBorder="1" applyAlignment="1">
      <alignment horizontal="centerContinuous" vertical="center" wrapText="1"/>
    </xf>
    <xf numFmtId="0" fontId="3" fillId="6" borderId="4" xfId="0" applyFont="1" applyFill="1" applyBorder="1" applyAlignment="1">
      <alignment horizontal="centerContinuous" vertical="center" wrapText="1"/>
    </xf>
    <xf numFmtId="0" fontId="3" fillId="6" borderId="3" xfId="0" applyFont="1" applyFill="1" applyBorder="1" applyAlignment="1">
      <alignment horizontal="center" vertical="center" wrapText="1"/>
    </xf>
    <xf numFmtId="41" fontId="3" fillId="6" borderId="3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41" fontId="2" fillId="6" borderId="2" xfId="0" applyNumberFormat="1" applyFont="1" applyFill="1" applyBorder="1" applyAlignment="1">
      <alignment horizontal="left" vertical="center"/>
    </xf>
    <xf numFmtId="164" fontId="5" fillId="6" borderId="2" xfId="0" applyNumberFormat="1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right" vertical="center" wrapText="1"/>
    </xf>
    <xf numFmtId="43" fontId="2" fillId="6" borderId="4" xfId="0" applyNumberFormat="1" applyFont="1" applyFill="1" applyBorder="1" applyAlignment="1">
      <alignment horizontal="right" vertical="center"/>
    </xf>
    <xf numFmtId="0" fontId="2" fillId="7" borderId="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165" fontId="2" fillId="7" borderId="12" xfId="0" applyNumberFormat="1" applyFont="1" applyFill="1" applyBorder="1" applyAlignment="1">
      <alignment horizontal="left" vertical="center" wrapText="1"/>
    </xf>
    <xf numFmtId="41" fontId="2" fillId="7" borderId="12" xfId="0" applyNumberFormat="1" applyFont="1" applyFill="1" applyBorder="1" applyAlignment="1">
      <alignment horizontal="center" vertical="center"/>
    </xf>
    <xf numFmtId="43" fontId="2" fillId="7" borderId="12" xfId="1" applyFont="1" applyFill="1" applyBorder="1" applyAlignment="1" applyProtection="1">
      <alignment horizontal="right" vertical="center"/>
    </xf>
    <xf numFmtId="43" fontId="2" fillId="7" borderId="12" xfId="1" applyFont="1" applyFill="1" applyBorder="1" applyAlignment="1" applyProtection="1">
      <alignment horizontal="right" vertical="center" wrapText="1"/>
    </xf>
    <xf numFmtId="43" fontId="2" fillId="7" borderId="14" xfId="1" applyFont="1" applyFill="1" applyBorder="1" applyAlignment="1" applyProtection="1">
      <alignment horizontal="right" vertical="center"/>
    </xf>
    <xf numFmtId="43" fontId="2" fillId="7" borderId="17" xfId="1" applyFont="1" applyFill="1" applyBorder="1" applyAlignment="1">
      <alignment horizontal="right" vertical="center"/>
    </xf>
    <xf numFmtId="0" fontId="2" fillId="7" borderId="12" xfId="0" applyFont="1" applyFill="1" applyBorder="1" applyAlignment="1">
      <alignment horizontal="left" vertical="center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49" fontId="2" fillId="7" borderId="13" xfId="0" quotePrefix="1" applyNumberFormat="1" applyFont="1" applyFill="1" applyBorder="1" applyAlignment="1" applyProtection="1">
      <alignment horizontal="center" vertical="center" wrapText="1"/>
      <protection locked="0"/>
    </xf>
    <xf numFmtId="43" fontId="2" fillId="7" borderId="12" xfId="1" applyFont="1" applyFill="1" applyBorder="1" applyAlignment="1" applyProtection="1">
      <alignment horizontal="right" vertical="center" wrapText="1"/>
      <protection locked="0"/>
    </xf>
    <xf numFmtId="43" fontId="2" fillId="7" borderId="12" xfId="1" applyFont="1" applyFill="1" applyBorder="1" applyAlignment="1">
      <alignment horizontal="right" vertical="center"/>
    </xf>
    <xf numFmtId="49" fontId="2" fillId="7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7" borderId="12" xfId="0" applyNumberFormat="1" applyFont="1" applyFill="1" applyBorder="1" applyAlignment="1">
      <alignment horizontal="left" vertical="center" wrapText="1"/>
    </xf>
    <xf numFmtId="0" fontId="7" fillId="2" borderId="1" xfId="2" applyFont="1" applyFill="1" applyBorder="1" applyAlignment="1" applyProtection="1">
      <alignment horizontal="right" vertical="center"/>
      <protection locked="0"/>
    </xf>
    <xf numFmtId="0" fontId="7" fillId="2" borderId="4" xfId="2" applyFont="1" applyFill="1" applyBorder="1" applyAlignment="1" applyProtection="1">
      <alignment horizontal="left" vertical="center"/>
      <protection locked="0"/>
    </xf>
    <xf numFmtId="0" fontId="7" fillId="8" borderId="1" xfId="2" applyFont="1" applyFill="1" applyBorder="1" applyAlignment="1">
      <alignment horizontal="right" vertical="center"/>
    </xf>
    <xf numFmtId="0" fontId="7" fillId="8" borderId="4" xfId="2" applyFont="1" applyFill="1" applyBorder="1" applyAlignment="1">
      <alignment horizontal="left" vertical="center"/>
    </xf>
    <xf numFmtId="0" fontId="9" fillId="8" borderId="20" xfId="2" applyFont="1" applyFill="1" applyBorder="1" applyAlignment="1">
      <alignment horizontal="center" vertical="center"/>
    </xf>
    <xf numFmtId="166" fontId="9" fillId="0" borderId="12" xfId="3" applyFont="1" applyFill="1" applyBorder="1" applyAlignment="1" applyProtection="1">
      <alignment horizontal="right" vertical="center"/>
    </xf>
    <xf numFmtId="166" fontId="9" fillId="0" borderId="12" xfId="3" applyFont="1" applyFill="1" applyBorder="1" applyAlignment="1" applyProtection="1">
      <alignment horizontal="right" vertical="center"/>
      <protection locked="0"/>
    </xf>
    <xf numFmtId="166" fontId="9" fillId="0" borderId="3" xfId="3" applyFont="1" applyFill="1" applyBorder="1" applyAlignment="1" applyProtection="1">
      <alignment horizontal="right" vertical="center"/>
    </xf>
    <xf numFmtId="0" fontId="9" fillId="6" borderId="0" xfId="2" applyFont="1" applyFill="1" applyAlignment="1">
      <alignment vertical="center"/>
    </xf>
    <xf numFmtId="0" fontId="11" fillId="6" borderId="0" xfId="2" applyFont="1" applyFill="1" applyAlignment="1">
      <alignment horizontal="left" vertical="center"/>
    </xf>
    <xf numFmtId="0" fontId="9" fillId="6" borderId="19" xfId="2" applyFont="1" applyFill="1" applyBorder="1" applyAlignment="1">
      <alignment horizontal="center" vertical="center"/>
    </xf>
    <xf numFmtId="0" fontId="12" fillId="6" borderId="0" xfId="2" applyFont="1" applyFill="1" applyAlignment="1">
      <alignment horizontal="left" vertical="center"/>
    </xf>
    <xf numFmtId="0" fontId="7" fillId="6" borderId="0" xfId="2" applyFont="1" applyFill="1" applyAlignment="1">
      <alignment horizontal="center" vertical="center"/>
    </xf>
    <xf numFmtId="0" fontId="7" fillId="6" borderId="20" xfId="2" applyFont="1" applyFill="1" applyBorder="1" applyAlignment="1">
      <alignment horizontal="center" vertical="center"/>
    </xf>
    <xf numFmtId="0" fontId="9" fillId="6" borderId="15" xfId="2" applyFont="1" applyFill="1" applyBorder="1" applyAlignment="1">
      <alignment vertical="center"/>
    </xf>
    <xf numFmtId="0" fontId="13" fillId="6" borderId="0" xfId="2" applyFont="1" applyFill="1" applyAlignment="1">
      <alignment vertical="center"/>
    </xf>
    <xf numFmtId="0" fontId="9" fillId="6" borderId="15" xfId="2" applyFont="1" applyFill="1" applyBorder="1" applyAlignment="1">
      <alignment horizontal="left" vertical="center"/>
    </xf>
    <xf numFmtId="0" fontId="9" fillId="6" borderId="0" xfId="2" applyFont="1" applyFill="1" applyAlignment="1">
      <alignment horizontal="left" vertical="center"/>
    </xf>
    <xf numFmtId="0" fontId="14" fillId="6" borderId="0" xfId="2" applyFont="1" applyFill="1" applyAlignment="1">
      <alignment horizontal="center" vertical="center"/>
    </xf>
    <xf numFmtId="0" fontId="13" fillId="6" borderId="0" xfId="2" applyFont="1" applyFill="1" applyAlignment="1">
      <alignment horizontal="left" vertical="center"/>
    </xf>
    <xf numFmtId="0" fontId="9" fillId="6" borderId="16" xfId="2" applyFont="1" applyFill="1" applyBorder="1" applyAlignment="1">
      <alignment horizontal="left" vertical="center"/>
    </xf>
    <xf numFmtId="0" fontId="3" fillId="6" borderId="15" xfId="0" applyFont="1" applyFill="1" applyBorder="1"/>
    <xf numFmtId="0" fontId="6" fillId="6" borderId="0" xfId="0" applyFont="1" applyFill="1" applyAlignment="1">
      <alignment vertical="center"/>
    </xf>
    <xf numFmtId="0" fontId="6" fillId="6" borderId="16" xfId="0" applyFont="1" applyFill="1" applyBorder="1" applyAlignment="1">
      <alignment vertical="center"/>
    </xf>
    <xf numFmtId="49" fontId="3" fillId="6" borderId="18" xfId="0" applyNumberFormat="1" applyFont="1" applyFill="1" applyBorder="1"/>
    <xf numFmtId="0" fontId="3" fillId="6" borderId="5" xfId="0" applyFont="1" applyFill="1" applyBorder="1"/>
    <xf numFmtId="0" fontId="3" fillId="6" borderId="21" xfId="0" applyFont="1" applyFill="1" applyBorder="1"/>
    <xf numFmtId="165" fontId="9" fillId="6" borderId="8" xfId="2" applyNumberFormat="1" applyFont="1" applyFill="1" applyBorder="1" applyAlignment="1">
      <alignment horizontal="center" vertical="center"/>
    </xf>
    <xf numFmtId="165" fontId="9" fillId="6" borderId="6" xfId="2" applyNumberFormat="1" applyFont="1" applyFill="1" applyBorder="1" applyAlignment="1">
      <alignment horizontal="center" vertical="center"/>
    </xf>
    <xf numFmtId="165" fontId="9" fillId="6" borderId="22" xfId="2" applyNumberFormat="1" applyFont="1" applyFill="1" applyBorder="1" applyAlignment="1">
      <alignment horizontal="center" vertical="center"/>
    </xf>
    <xf numFmtId="0" fontId="9" fillId="6" borderId="8" xfId="2" applyFont="1" applyFill="1" applyBorder="1" applyAlignment="1">
      <alignment horizontal="center" vertical="center"/>
    </xf>
    <xf numFmtId="165" fontId="9" fillId="6" borderId="20" xfId="2" applyNumberFormat="1" applyFont="1" applyFill="1" applyBorder="1" applyAlignment="1">
      <alignment horizontal="center" vertical="center"/>
    </xf>
    <xf numFmtId="0" fontId="9" fillId="6" borderId="20" xfId="2" applyFont="1" applyFill="1" applyBorder="1" applyAlignment="1">
      <alignment horizontal="center" vertical="center"/>
    </xf>
    <xf numFmtId="0" fontId="7" fillId="6" borderId="20" xfId="2" quotePrefix="1" applyFont="1" applyFill="1" applyBorder="1" applyAlignment="1">
      <alignment horizontal="center" vertical="center" wrapText="1"/>
    </xf>
    <xf numFmtId="10" fontId="9" fillId="6" borderId="12" xfId="4" applyNumberFormat="1" applyFont="1" applyFill="1" applyBorder="1" applyAlignment="1" applyProtection="1">
      <alignment horizontal="right" vertical="center"/>
    </xf>
    <xf numFmtId="165" fontId="9" fillId="6" borderId="12" xfId="2" applyNumberFormat="1" applyFont="1" applyFill="1" applyBorder="1" applyAlignment="1">
      <alignment horizontal="center" vertical="center"/>
    </xf>
    <xf numFmtId="166" fontId="9" fillId="6" borderId="12" xfId="3" applyFont="1" applyFill="1" applyBorder="1" applyAlignment="1" applyProtection="1">
      <alignment horizontal="right" vertical="center"/>
    </xf>
    <xf numFmtId="165" fontId="9" fillId="6" borderId="14" xfId="2" applyNumberFormat="1" applyFont="1" applyFill="1" applyBorder="1" applyAlignment="1">
      <alignment horizontal="left" vertical="center" wrapText="1"/>
    </xf>
    <xf numFmtId="165" fontId="9" fillId="6" borderId="24" xfId="2" applyNumberFormat="1" applyFont="1" applyFill="1" applyBorder="1" applyAlignment="1">
      <alignment horizontal="left" vertical="center" wrapText="1"/>
    </xf>
    <xf numFmtId="0" fontId="9" fillId="6" borderId="3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right" vertical="center"/>
    </xf>
    <xf numFmtId="0" fontId="7" fillId="6" borderId="2" xfId="2" applyFont="1" applyFill="1" applyBorder="1" applyAlignment="1">
      <alignment horizontal="right" vertical="center"/>
    </xf>
    <xf numFmtId="166" fontId="9" fillId="6" borderId="3" xfId="3" applyFont="1" applyFill="1" applyBorder="1" applyAlignment="1" applyProtection="1">
      <alignment horizontal="right" vertical="center"/>
    </xf>
    <xf numFmtId="10" fontId="9" fillId="6" borderId="3" xfId="4" applyNumberFormat="1" applyFont="1" applyFill="1" applyBorder="1" applyAlignment="1" applyProtection="1">
      <alignment horizontal="right" vertical="center"/>
    </xf>
    <xf numFmtId="14" fontId="9" fillId="6" borderId="0" xfId="2" applyNumberFormat="1" applyFont="1" applyFill="1" applyAlignment="1">
      <alignment vertical="center"/>
    </xf>
    <xf numFmtId="0" fontId="7" fillId="6" borderId="25" xfId="2" applyFont="1" applyFill="1" applyBorder="1" applyAlignment="1" applyProtection="1">
      <alignment horizontal="left" vertical="center"/>
      <protection locked="0"/>
    </xf>
    <xf numFmtId="0" fontId="9" fillId="6" borderId="25" xfId="2" applyFont="1" applyFill="1" applyBorder="1" applyAlignment="1">
      <alignment vertical="center"/>
    </xf>
    <xf numFmtId="0" fontId="7" fillId="6" borderId="0" xfId="2" applyFont="1" applyFill="1" applyAlignment="1">
      <alignment horizontal="left" vertical="center"/>
    </xf>
    <xf numFmtId="0" fontId="7" fillId="6" borderId="0" xfId="2" applyFont="1" applyFill="1" applyAlignment="1">
      <alignment vertical="center"/>
    </xf>
    <xf numFmtId="0" fontId="9" fillId="0" borderId="0" xfId="0" applyFont="1" applyAlignment="1">
      <alignment wrapText="1"/>
    </xf>
    <xf numFmtId="14" fontId="8" fillId="6" borderId="0" xfId="0" applyNumberFormat="1" applyFont="1" applyFill="1"/>
    <xf numFmtId="165" fontId="9" fillId="6" borderId="24" xfId="2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wrapText="1"/>
    </xf>
    <xf numFmtId="0" fontId="7" fillId="9" borderId="1" xfId="2" applyFont="1" applyFill="1" applyBorder="1" applyAlignment="1" applyProtection="1">
      <alignment horizontal="right" vertical="center"/>
      <protection locked="0"/>
    </xf>
    <xf numFmtId="0" fontId="7" fillId="9" borderId="4" xfId="2" applyFont="1" applyFill="1" applyBorder="1" applyAlignment="1" applyProtection="1">
      <alignment horizontal="left" vertical="center"/>
      <protection locked="0"/>
    </xf>
    <xf numFmtId="165" fontId="9" fillId="6" borderId="27" xfId="2" applyNumberFormat="1" applyFont="1" applyFill="1" applyBorder="1" applyAlignment="1">
      <alignment horizontal="left" vertical="center" wrapText="1"/>
    </xf>
    <xf numFmtId="165" fontId="9" fillId="6" borderId="13" xfId="2" applyNumberFormat="1" applyFont="1" applyFill="1" applyBorder="1" applyAlignment="1">
      <alignment horizontal="left" vertical="center" wrapText="1"/>
    </xf>
    <xf numFmtId="43" fontId="3" fillId="6" borderId="24" xfId="1" applyFont="1" applyFill="1" applyBorder="1" applyAlignment="1">
      <alignment horizontal="right" vertical="center"/>
    </xf>
    <xf numFmtId="166" fontId="9" fillId="6" borderId="24" xfId="3" applyFont="1" applyFill="1" applyBorder="1" applyAlignment="1" applyProtection="1">
      <alignment horizontal="right" vertical="center"/>
    </xf>
    <xf numFmtId="166" fontId="9" fillId="6" borderId="20" xfId="3" applyFont="1" applyFill="1" applyBorder="1" applyAlignment="1" applyProtection="1">
      <alignment horizontal="right" vertical="center"/>
    </xf>
    <xf numFmtId="166" fontId="9" fillId="0" borderId="24" xfId="3" applyFont="1" applyFill="1" applyBorder="1" applyAlignment="1" applyProtection="1">
      <alignment horizontal="right" vertical="center"/>
      <protection locked="0"/>
    </xf>
    <xf numFmtId="166" fontId="9" fillId="6" borderId="26" xfId="3" applyFont="1" applyFill="1" applyBorder="1" applyAlignment="1" applyProtection="1">
      <alignment horizontal="right" vertical="center"/>
    </xf>
    <xf numFmtId="166" fontId="9" fillId="0" borderId="26" xfId="3" applyFont="1" applyFill="1" applyBorder="1" applyAlignment="1" applyProtection="1">
      <alignment horizontal="right" vertical="center"/>
      <protection locked="0"/>
    </xf>
    <xf numFmtId="166" fontId="9" fillId="0" borderId="28" xfId="3" applyFont="1" applyFill="1" applyBorder="1" applyAlignment="1" applyProtection="1">
      <alignment horizontal="right" vertical="center"/>
    </xf>
    <xf numFmtId="166" fontId="9" fillId="0" borderId="20" xfId="3" applyFont="1" applyFill="1" applyBorder="1" applyAlignment="1" applyProtection="1">
      <alignment horizontal="right" vertical="center"/>
    </xf>
    <xf numFmtId="165" fontId="9" fillId="6" borderId="29" xfId="2" applyNumberFormat="1" applyFont="1" applyFill="1" applyBorder="1" applyAlignment="1">
      <alignment horizontal="left" vertical="center" wrapText="1"/>
    </xf>
    <xf numFmtId="0" fontId="7" fillId="6" borderId="18" xfId="2" applyFont="1" applyFill="1" applyBorder="1" applyAlignment="1">
      <alignment horizontal="right" vertical="center"/>
    </xf>
    <xf numFmtId="0" fontId="7" fillId="6" borderId="5" xfId="2" applyFont="1" applyFill="1" applyBorder="1" applyAlignment="1">
      <alignment horizontal="right" vertical="center"/>
    </xf>
    <xf numFmtId="165" fontId="9" fillId="6" borderId="26" xfId="2" applyNumberFormat="1" applyFont="1" applyFill="1" applyBorder="1" applyAlignment="1">
      <alignment horizontal="left" vertical="center" wrapText="1"/>
    </xf>
    <xf numFmtId="165" fontId="9" fillId="9" borderId="12" xfId="2" applyNumberFormat="1" applyFont="1" applyFill="1" applyBorder="1" applyAlignment="1">
      <alignment horizontal="center" vertical="center"/>
    </xf>
    <xf numFmtId="165" fontId="9" fillId="9" borderId="24" xfId="2" applyNumberFormat="1" applyFont="1" applyFill="1" applyBorder="1" applyAlignment="1">
      <alignment horizontal="left" vertical="center" wrapText="1"/>
    </xf>
    <xf numFmtId="165" fontId="9" fillId="9" borderId="13" xfId="2" applyNumberFormat="1" applyFont="1" applyFill="1" applyBorder="1" applyAlignment="1">
      <alignment horizontal="left" vertical="center" wrapText="1"/>
    </xf>
    <xf numFmtId="166" fontId="9" fillId="9" borderId="24" xfId="3" applyFont="1" applyFill="1" applyBorder="1" applyAlignment="1" applyProtection="1">
      <alignment horizontal="right" vertical="center"/>
    </xf>
    <xf numFmtId="10" fontId="9" fillId="9" borderId="12" xfId="4" applyNumberFormat="1" applyFont="1" applyFill="1" applyBorder="1" applyAlignment="1" applyProtection="1">
      <alignment horizontal="right" vertical="center"/>
    </xf>
    <xf numFmtId="166" fontId="9" fillId="9" borderId="24" xfId="3" applyFont="1" applyFill="1" applyBorder="1" applyAlignment="1" applyProtection="1">
      <alignment horizontal="right" vertical="center"/>
      <protection locked="0"/>
    </xf>
    <xf numFmtId="166" fontId="9" fillId="9" borderId="12" xfId="3" applyFont="1" applyFill="1" applyBorder="1" applyAlignment="1" applyProtection="1">
      <alignment horizontal="right" vertical="center"/>
    </xf>
    <xf numFmtId="165" fontId="9" fillId="9" borderId="8" xfId="2" applyNumberFormat="1" applyFont="1" applyFill="1" applyBorder="1" applyAlignment="1">
      <alignment horizontal="center" vertical="center"/>
    </xf>
    <xf numFmtId="166" fontId="9" fillId="9" borderId="17" xfId="3" applyFont="1" applyFill="1" applyBorder="1" applyAlignment="1" applyProtection="1">
      <alignment horizontal="right" vertical="center"/>
    </xf>
    <xf numFmtId="166" fontId="9" fillId="9" borderId="17" xfId="3" applyFont="1" applyFill="1" applyBorder="1" applyAlignment="1" applyProtection="1">
      <alignment horizontal="right" vertical="center"/>
      <protection locked="0"/>
    </xf>
    <xf numFmtId="0" fontId="7" fillId="6" borderId="18" xfId="2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7" fillId="6" borderId="5" xfId="2" applyFont="1" applyFill="1" applyBorder="1" applyAlignment="1">
      <alignment horizontal="left" vertical="center" wrapText="1"/>
    </xf>
    <xf numFmtId="0" fontId="7" fillId="6" borderId="21" xfId="2" applyFont="1" applyFill="1" applyBorder="1" applyAlignment="1">
      <alignment horizontal="left" vertical="center" wrapText="1"/>
    </xf>
    <xf numFmtId="49" fontId="7" fillId="6" borderId="18" xfId="2" applyNumberFormat="1" applyFont="1" applyFill="1" applyBorder="1" applyAlignment="1">
      <alignment horizontal="left" vertical="center" wrapText="1"/>
    </xf>
    <xf numFmtId="49" fontId="7" fillId="6" borderId="5" xfId="2" applyNumberFormat="1" applyFont="1" applyFill="1" applyBorder="1" applyAlignment="1">
      <alignment horizontal="left" vertical="center" wrapText="1"/>
    </xf>
    <xf numFmtId="49" fontId="7" fillId="6" borderId="21" xfId="2" applyNumberFormat="1" applyFont="1" applyFill="1" applyBorder="1" applyAlignment="1">
      <alignment horizontal="left" vertical="center" wrapText="1"/>
    </xf>
    <xf numFmtId="0" fontId="15" fillId="6" borderId="15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3" fillId="6" borderId="18" xfId="0" applyFont="1" applyFill="1" applyBorder="1" applyAlignment="1">
      <alignment horizontal="left" vertical="center" wrapText="1"/>
    </xf>
    <xf numFmtId="0" fontId="3" fillId="6" borderId="21" xfId="0" applyFont="1" applyFill="1" applyBorder="1" applyAlignment="1">
      <alignment horizontal="left" vertical="center" wrapText="1"/>
    </xf>
    <xf numFmtId="165" fontId="9" fillId="6" borderId="14" xfId="2" applyNumberFormat="1" applyFont="1" applyFill="1" applyBorder="1" applyAlignment="1">
      <alignment horizontal="left" vertical="center" wrapText="1"/>
    </xf>
    <xf numFmtId="165" fontId="9" fillId="6" borderId="24" xfId="2" applyNumberFormat="1" applyFont="1" applyFill="1" applyBorder="1" applyAlignment="1">
      <alignment horizontal="left" vertical="center" wrapText="1"/>
    </xf>
    <xf numFmtId="0" fontId="7" fillId="6" borderId="26" xfId="2" applyFont="1" applyFill="1" applyBorder="1" applyAlignment="1">
      <alignment horizontal="left" vertical="center" wrapText="1"/>
    </xf>
    <xf numFmtId="0" fontId="9" fillId="6" borderId="0" xfId="2" applyFont="1" applyFill="1" applyAlignment="1">
      <alignment horizontal="left" vertical="center" wrapText="1"/>
    </xf>
    <xf numFmtId="0" fontId="3" fillId="6" borderId="0" xfId="0" applyFont="1" applyFill="1" applyAlignment="1">
      <alignment vertical="center" wrapText="1"/>
    </xf>
    <xf numFmtId="165" fontId="9" fillId="6" borderId="18" xfId="2" applyNumberFormat="1" applyFont="1" applyFill="1" applyBorder="1" applyAlignment="1">
      <alignment horizontal="center" vertical="center"/>
    </xf>
    <xf numFmtId="165" fontId="9" fillId="6" borderId="21" xfId="2" applyNumberFormat="1" applyFont="1" applyFill="1" applyBorder="1" applyAlignment="1">
      <alignment horizontal="center" vertical="center"/>
    </xf>
    <xf numFmtId="165" fontId="9" fillId="9" borderId="7" xfId="2" applyNumberFormat="1" applyFont="1" applyFill="1" applyBorder="1" applyAlignment="1">
      <alignment horizontal="left" vertical="center" wrapText="1"/>
    </xf>
    <xf numFmtId="165" fontId="9" fillId="9" borderId="23" xfId="2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2" xfId="2"/>
    <cellStyle name="Porcentagem 2" xfId="4"/>
    <cellStyle name="Vírgula" xfId="1" builtinId="3"/>
    <cellStyle name="Vírgula 2" xfId="3"/>
  </cellStyles>
  <dxfs count="215"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</dxf>
    <dxf>
      <fill>
        <patternFill patternType="darkUp"/>
      </fill>
    </dxf>
    <dxf>
      <fill>
        <patternFill>
          <bgColor rgb="FFFFFF99"/>
        </patternFill>
      </fill>
    </dxf>
    <dxf>
      <fill>
        <patternFill patternType="darkUp"/>
      </fill>
    </dxf>
    <dxf>
      <fill>
        <patternFill>
          <bgColor rgb="FFFFFF99"/>
        </patternFill>
      </fill>
    </dxf>
    <dxf>
      <fill>
        <patternFill patternType="darkUp"/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</dxf>
    <dxf>
      <fill>
        <patternFill patternType="darkUp"/>
      </fill>
    </dxf>
    <dxf>
      <fill>
        <patternFill>
          <bgColor rgb="FFFFFF99"/>
        </patternFill>
      </fill>
    </dxf>
    <dxf>
      <fill>
        <patternFill patternType="darkUp"/>
      </fill>
    </dxf>
    <dxf>
      <fill>
        <patternFill>
          <bgColor rgb="FFFFFF99"/>
        </patternFill>
      </fill>
    </dxf>
    <dxf>
      <fill>
        <patternFill patternType="darkUp"/>
      </fill>
    </dxf>
    <dxf>
      <fill>
        <patternFill>
          <bgColor rgb="FFFFFF99"/>
        </patternFill>
      </fill>
    </dxf>
    <dxf>
      <fill>
        <patternFill patternType="darkUp"/>
      </fill>
    </dxf>
    <dxf>
      <fill>
        <patternFill>
          <bgColor rgb="FFFFFF99"/>
        </patternFill>
      </fill>
    </dxf>
    <dxf>
      <fill>
        <patternFill patternType="darkUp"/>
      </fill>
    </dxf>
    <dxf>
      <fill>
        <patternFill>
          <bgColor rgb="FFFFFF99"/>
        </patternFill>
      </fill>
    </dxf>
    <dxf>
      <fill>
        <patternFill patternType="darkUp"/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14</xdr:col>
      <xdr:colOff>514350</xdr:colOff>
      <xdr:row>6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8D542B5-B1D9-4D19-8A0F-AB2D3DB5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77914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733425</xdr:colOff>
      <xdr:row>1</xdr:row>
      <xdr:rowOff>133350</xdr:rowOff>
    </xdr:to>
    <xdr:sp macro="" textlink="">
      <xdr:nvSpPr>
        <xdr:cNvPr id="2" name="Object 3105" hidden="1">
          <a:extLst>
            <a:ext uri="{63B3BB69-23CF-44E3-9099-C40C66FF867C}">
              <a14:compatExt xmlns:a14="http://schemas.microsoft.com/office/drawing/2010/main" spid="_x0000_s189473"/>
            </a:ext>
            <a:ext uri="{FF2B5EF4-FFF2-40B4-BE49-F238E27FC236}">
              <a16:creationId xmlns:a16="http://schemas.microsoft.com/office/drawing/2014/main" xmlns="" id="{E24E01D8-5670-489B-AB22-A51C15217114}"/>
            </a:ext>
          </a:extLst>
        </xdr:cNvPr>
        <xdr:cNvSpPr/>
      </xdr:nvSpPr>
      <xdr:spPr>
        <a:xfrm>
          <a:off x="2714625" y="0"/>
          <a:ext cx="1371600" cy="295275"/>
        </a:xfrm>
        <a:prstGeom prst="rect">
          <a:avLst/>
        </a:prstGeom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518211</xdr:colOff>
      <xdr:row>2</xdr:row>
      <xdr:rowOff>120668</xdr:rowOff>
    </xdr:to>
    <xdr:pic>
      <xdr:nvPicPr>
        <xdr:cNvPr id="3" name="Picture 3105">
          <a:extLst>
            <a:ext uri="{FF2B5EF4-FFF2-40B4-BE49-F238E27FC236}">
              <a16:creationId xmlns:a16="http://schemas.microsoft.com/office/drawing/2014/main" xmlns="" id="{9DBF5D9F-3280-4A6F-8773-5378F407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4150" y="0"/>
          <a:ext cx="499161" cy="444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301"/>
  <sheetViews>
    <sheetView topLeftCell="A88" workbookViewId="0">
      <selection activeCell="N15" sqref="N15"/>
    </sheetView>
  </sheetViews>
  <sheetFormatPr defaultRowHeight="15" x14ac:dyDescent="0.25"/>
  <cols>
    <col min="1" max="4" width="9.140625" style="15"/>
    <col min="5" max="5" width="2.28515625" bestFit="1" customWidth="1"/>
    <col min="6" max="6" width="5.28515625" bestFit="1" customWidth="1"/>
    <col min="7" max="7" width="9.28515625" bestFit="1" customWidth="1"/>
    <col min="8" max="8" width="7.140625" customWidth="1"/>
    <col min="9" max="9" width="42.42578125" customWidth="1"/>
    <col min="10" max="10" width="7" bestFit="1" customWidth="1"/>
    <col min="11" max="11" width="7.85546875" bestFit="1" customWidth="1"/>
    <col min="14" max="14" width="9.5703125" bestFit="1" customWidth="1"/>
    <col min="15" max="15" width="9" bestFit="1" customWidth="1"/>
    <col min="16" max="16" width="5.140625" style="15" bestFit="1" customWidth="1"/>
    <col min="17" max="43" width="9.140625" style="15"/>
  </cols>
  <sheetData>
    <row r="1" spans="5:16" s="15" customFormat="1" x14ac:dyDescent="0.25"/>
    <row r="2" spans="5:16" s="15" customFormat="1" x14ac:dyDescent="0.25"/>
    <row r="3" spans="5:16" s="15" customFormat="1" x14ac:dyDescent="0.25"/>
    <row r="4" spans="5:16" s="15" customFormat="1" x14ac:dyDescent="0.25"/>
    <row r="5" spans="5:16" s="15" customFormat="1" x14ac:dyDescent="0.25"/>
    <row r="6" spans="5:16" s="15" customFormat="1" x14ac:dyDescent="0.25"/>
    <row r="7" spans="5:16" s="15" customFormat="1" x14ac:dyDescent="0.25"/>
    <row r="8" spans="5:16" s="15" customFormat="1" x14ac:dyDescent="0.25"/>
    <row r="9" spans="5:16" s="15" customFormat="1" x14ac:dyDescent="0.25">
      <c r="E9" s="20"/>
      <c r="F9" s="20"/>
      <c r="G9" s="21"/>
      <c r="H9" s="21"/>
      <c r="I9" s="21"/>
      <c r="J9" s="22"/>
      <c r="K9" s="21"/>
      <c r="L9" s="23"/>
      <c r="M9" s="24" t="s">
        <v>43</v>
      </c>
      <c r="N9" s="25">
        <v>0.26850000000000002</v>
      </c>
      <c r="O9" s="26" t="s">
        <v>48</v>
      </c>
      <c r="P9" s="16"/>
    </row>
    <row r="10" spans="5:16" s="15" customFormat="1" x14ac:dyDescent="0.25">
      <c r="E10" s="19"/>
      <c r="F10" s="19"/>
      <c r="G10" s="19"/>
      <c r="H10" s="19"/>
      <c r="I10" s="19"/>
      <c r="J10" s="27"/>
      <c r="K10" s="19"/>
      <c r="L10" s="23"/>
      <c r="M10" s="24" t="s">
        <v>44</v>
      </c>
      <c r="N10" s="25" t="s">
        <v>33</v>
      </c>
      <c r="O10" s="26" t="s">
        <v>49</v>
      </c>
      <c r="P10" s="16"/>
    </row>
    <row r="11" spans="5:16" s="15" customFormat="1" x14ac:dyDescent="0.25">
      <c r="E11" s="28"/>
      <c r="F11" s="23"/>
      <c r="G11" s="24"/>
      <c r="H11" s="24" t="s">
        <v>0</v>
      </c>
      <c r="I11" s="29" t="s">
        <v>188</v>
      </c>
      <c r="J11" s="30"/>
      <c r="K11" s="31"/>
      <c r="L11" s="23"/>
      <c r="M11" s="24" t="s">
        <v>45</v>
      </c>
      <c r="N11" s="25" t="s">
        <v>33</v>
      </c>
      <c r="O11" s="26" t="s">
        <v>50</v>
      </c>
      <c r="P11" s="16"/>
    </row>
    <row r="12" spans="5:16" s="15" customFormat="1" x14ac:dyDescent="0.25">
      <c r="E12" s="28"/>
      <c r="F12" s="23"/>
      <c r="G12" s="24"/>
      <c r="H12" s="24" t="s">
        <v>1</v>
      </c>
      <c r="I12" s="29" t="s">
        <v>26</v>
      </c>
      <c r="J12" s="27"/>
      <c r="K12" s="19"/>
      <c r="L12" s="23"/>
      <c r="M12" s="24" t="s">
        <v>46</v>
      </c>
      <c r="N12" s="25">
        <v>0</v>
      </c>
      <c r="O12" s="26" t="s">
        <v>51</v>
      </c>
      <c r="P12" s="16"/>
    </row>
    <row r="13" spans="5:16" s="15" customFormat="1" ht="33.75" x14ac:dyDescent="0.25">
      <c r="E13" s="21"/>
      <c r="F13" s="32" t="s">
        <v>2</v>
      </c>
      <c r="G13" s="33" t="s">
        <v>3</v>
      </c>
      <c r="H13" s="34" t="s">
        <v>4</v>
      </c>
      <c r="I13" s="35" t="s">
        <v>27</v>
      </c>
      <c r="J13" s="36" t="s">
        <v>28</v>
      </c>
      <c r="K13" s="35" t="s">
        <v>29</v>
      </c>
      <c r="L13" s="35" t="s">
        <v>30</v>
      </c>
      <c r="M13" s="35" t="s">
        <v>47</v>
      </c>
      <c r="N13" s="35" t="s">
        <v>52</v>
      </c>
      <c r="O13" s="17" t="s">
        <v>53</v>
      </c>
      <c r="P13" s="17" t="s">
        <v>54</v>
      </c>
    </row>
    <row r="14" spans="5:16" s="15" customFormat="1" x14ac:dyDescent="0.25">
      <c r="E14" s="37"/>
      <c r="F14" s="38"/>
      <c r="G14" s="39"/>
      <c r="H14" s="39"/>
      <c r="I14" s="40" t="s">
        <v>31</v>
      </c>
      <c r="J14" s="41"/>
      <c r="K14" s="42">
        <v>278488.63</v>
      </c>
      <c r="L14" s="43"/>
      <c r="M14" s="43"/>
      <c r="N14" s="44">
        <f>N15+N102</f>
        <v>969051.01672989246</v>
      </c>
      <c r="O14" s="18" t="s">
        <v>55</v>
      </c>
      <c r="P14" s="18" t="s">
        <v>55</v>
      </c>
    </row>
    <row r="15" spans="5:16" x14ac:dyDescent="0.25">
      <c r="E15" s="1" t="s">
        <v>5</v>
      </c>
      <c r="F15" s="45">
        <v>1</v>
      </c>
      <c r="G15" s="46"/>
      <c r="H15" s="47"/>
      <c r="I15" s="48" t="s">
        <v>32</v>
      </c>
      <c r="J15" s="49" t="s">
        <v>33</v>
      </c>
      <c r="K15" s="50">
        <v>0</v>
      </c>
      <c r="L15" s="51"/>
      <c r="M15" s="52">
        <v>0</v>
      </c>
      <c r="N15" s="53">
        <f>SUM(N16+N22+N27+N33+N39+N45+N51+N54+N60+N66+N72+N78+N84+N90+N96)</f>
        <v>748618.9854256924</v>
      </c>
      <c r="O15" s="13" t="s">
        <v>48</v>
      </c>
      <c r="P15" s="19" t="s">
        <v>33</v>
      </c>
    </row>
    <row r="16" spans="5:16" x14ac:dyDescent="0.25">
      <c r="E16" s="2" t="s">
        <v>6</v>
      </c>
      <c r="F16" s="54" t="s">
        <v>7</v>
      </c>
      <c r="G16" s="55"/>
      <c r="H16" s="56"/>
      <c r="I16" s="48" t="s">
        <v>34</v>
      </c>
      <c r="J16" s="49" t="s">
        <v>33</v>
      </c>
      <c r="K16" s="50">
        <v>0</v>
      </c>
      <c r="L16" s="57">
        <v>0</v>
      </c>
      <c r="M16" s="52">
        <v>0</v>
      </c>
      <c r="N16" s="58">
        <f>SUM(N17:N21)</f>
        <v>53373.450000000004</v>
      </c>
      <c r="O16" s="13" t="s">
        <v>48</v>
      </c>
      <c r="P16" s="19" t="s">
        <v>33</v>
      </c>
    </row>
    <row r="17" spans="5:16" x14ac:dyDescent="0.25">
      <c r="E17" s="2" t="s">
        <v>8</v>
      </c>
      <c r="F17" s="6" t="s">
        <v>9</v>
      </c>
      <c r="G17" s="4" t="s">
        <v>10</v>
      </c>
      <c r="H17" s="5" t="s">
        <v>11</v>
      </c>
      <c r="I17" s="11" t="s">
        <v>35</v>
      </c>
      <c r="J17" s="8" t="s">
        <v>36</v>
      </c>
      <c r="K17" s="9">
        <v>1300</v>
      </c>
      <c r="L17" s="10">
        <v>1.98</v>
      </c>
      <c r="M17" s="12">
        <v>2.5099999999999998</v>
      </c>
      <c r="N17" s="14">
        <v>3263</v>
      </c>
      <c r="O17" s="13" t="s">
        <v>48</v>
      </c>
      <c r="P17" s="19" t="s">
        <v>56</v>
      </c>
    </row>
    <row r="18" spans="5:16" ht="56.25" x14ac:dyDescent="0.25">
      <c r="E18" s="2" t="s">
        <v>8</v>
      </c>
      <c r="F18" s="3" t="s">
        <v>12</v>
      </c>
      <c r="G18" s="4" t="s">
        <v>13</v>
      </c>
      <c r="H18" s="5" t="s">
        <v>14</v>
      </c>
      <c r="I18" s="11" t="s">
        <v>37</v>
      </c>
      <c r="J18" s="8" t="s">
        <v>5</v>
      </c>
      <c r="K18" s="9">
        <v>260</v>
      </c>
      <c r="L18" s="10">
        <v>41.79</v>
      </c>
      <c r="M18" s="12">
        <f>L18*1.2685</f>
        <v>53.010614999999994</v>
      </c>
      <c r="N18" s="14">
        <v>13449.8</v>
      </c>
      <c r="O18" s="13" t="s">
        <v>48</v>
      </c>
      <c r="P18" s="19" t="s">
        <v>56</v>
      </c>
    </row>
    <row r="19" spans="5:16" x14ac:dyDescent="0.25">
      <c r="E19" s="2" t="s">
        <v>8</v>
      </c>
      <c r="F19" s="3" t="s">
        <v>15</v>
      </c>
      <c r="G19" s="4" t="s">
        <v>10</v>
      </c>
      <c r="H19" s="5" t="s">
        <v>16</v>
      </c>
      <c r="I19" s="11" t="s">
        <v>38</v>
      </c>
      <c r="J19" s="8" t="s">
        <v>36</v>
      </c>
      <c r="K19" s="9">
        <v>1300</v>
      </c>
      <c r="L19" s="10">
        <v>20.37</v>
      </c>
      <c r="M19" s="12">
        <f t="shared" ref="M19:M21" si="0">L19*1.2685</f>
        <v>25.839345000000002</v>
      </c>
      <c r="N19" s="14">
        <v>33592</v>
      </c>
      <c r="O19" s="13" t="s">
        <v>48</v>
      </c>
      <c r="P19" s="19" t="s">
        <v>56</v>
      </c>
    </row>
    <row r="20" spans="5:16" ht="33.75" x14ac:dyDescent="0.25">
      <c r="E20" s="2" t="s">
        <v>8</v>
      </c>
      <c r="F20" s="3" t="s">
        <v>17</v>
      </c>
      <c r="G20" s="4" t="s">
        <v>13</v>
      </c>
      <c r="H20" s="7" t="s">
        <v>18</v>
      </c>
      <c r="I20" s="11" t="s">
        <v>39</v>
      </c>
      <c r="J20" s="8" t="s">
        <v>40</v>
      </c>
      <c r="K20" s="9">
        <v>585</v>
      </c>
      <c r="L20" s="10">
        <v>2.27</v>
      </c>
      <c r="M20" s="12">
        <f t="shared" si="0"/>
        <v>2.8794949999999999</v>
      </c>
      <c r="N20" s="14">
        <v>1573.65</v>
      </c>
      <c r="O20" s="13" t="s">
        <v>48</v>
      </c>
      <c r="P20" s="19" t="s">
        <v>56</v>
      </c>
    </row>
    <row r="21" spans="5:16" x14ac:dyDescent="0.25">
      <c r="E21" s="2" t="s">
        <v>8</v>
      </c>
      <c r="F21" s="3" t="s">
        <v>19</v>
      </c>
      <c r="G21" s="4" t="s">
        <v>10</v>
      </c>
      <c r="H21" s="5" t="s">
        <v>20</v>
      </c>
      <c r="I21" s="11" t="s">
        <v>41</v>
      </c>
      <c r="J21" s="8" t="s">
        <v>36</v>
      </c>
      <c r="K21" s="9">
        <v>1300</v>
      </c>
      <c r="L21" s="10">
        <v>0.91</v>
      </c>
      <c r="M21" s="12">
        <f t="shared" si="0"/>
        <v>1.1543350000000001</v>
      </c>
      <c r="N21" s="14">
        <v>1495</v>
      </c>
      <c r="O21" s="13" t="s">
        <v>48</v>
      </c>
      <c r="P21" s="19" t="s">
        <v>56</v>
      </c>
    </row>
    <row r="22" spans="5:16" x14ac:dyDescent="0.25">
      <c r="E22" s="2" t="s">
        <v>6</v>
      </c>
      <c r="F22" s="54" t="s">
        <v>21</v>
      </c>
      <c r="G22" s="55"/>
      <c r="H22" s="59"/>
      <c r="I22" s="60" t="s">
        <v>42</v>
      </c>
      <c r="J22" s="49" t="s">
        <v>33</v>
      </c>
      <c r="K22" s="50">
        <v>0</v>
      </c>
      <c r="L22" s="57"/>
      <c r="M22" s="52">
        <v>0</v>
      </c>
      <c r="N22" s="58">
        <f>SUM(N23:N26)</f>
        <v>44653.07</v>
      </c>
      <c r="O22" s="13" t="s">
        <v>48</v>
      </c>
      <c r="P22" s="19" t="s">
        <v>56</v>
      </c>
    </row>
    <row r="23" spans="5:16" x14ac:dyDescent="0.25">
      <c r="E23" s="2" t="s">
        <v>8</v>
      </c>
      <c r="F23" s="3" t="s">
        <v>22</v>
      </c>
      <c r="G23" s="4" t="s">
        <v>10</v>
      </c>
      <c r="H23" s="5" t="s">
        <v>11</v>
      </c>
      <c r="I23" s="11" t="s">
        <v>35</v>
      </c>
      <c r="J23" s="8" t="s">
        <v>36</v>
      </c>
      <c r="K23" s="9">
        <v>1454</v>
      </c>
      <c r="L23" s="10">
        <v>1.98</v>
      </c>
      <c r="M23" s="12">
        <f>L23*1.2685</f>
        <v>2.5116299999999998</v>
      </c>
      <c r="N23" s="14">
        <v>3649.54</v>
      </c>
      <c r="O23" s="13" t="s">
        <v>48</v>
      </c>
      <c r="P23" s="19" t="s">
        <v>56</v>
      </c>
    </row>
    <row r="24" spans="5:16" x14ac:dyDescent="0.25">
      <c r="E24" s="2" t="s">
        <v>8</v>
      </c>
      <c r="F24" s="3" t="s">
        <v>23</v>
      </c>
      <c r="G24" s="4" t="s">
        <v>10</v>
      </c>
      <c r="H24" s="5" t="s">
        <v>16</v>
      </c>
      <c r="I24" s="11" t="s">
        <v>38</v>
      </c>
      <c r="J24" s="8" t="s">
        <v>36</v>
      </c>
      <c r="K24" s="9">
        <v>1454</v>
      </c>
      <c r="L24" s="10">
        <v>20.37</v>
      </c>
      <c r="M24" s="12">
        <f t="shared" ref="M24:M26" si="1">L24*1.2685</f>
        <v>25.839345000000002</v>
      </c>
      <c r="N24" s="14">
        <v>37571.360000000001</v>
      </c>
      <c r="O24" s="13" t="s">
        <v>48</v>
      </c>
      <c r="P24" s="19" t="s">
        <v>33</v>
      </c>
    </row>
    <row r="25" spans="5:16" ht="33.75" x14ac:dyDescent="0.25">
      <c r="E25" s="2" t="s">
        <v>8</v>
      </c>
      <c r="F25" s="3" t="s">
        <v>24</v>
      </c>
      <c r="G25" s="4" t="s">
        <v>13</v>
      </c>
      <c r="H25" s="7" t="s">
        <v>18</v>
      </c>
      <c r="I25" s="11" t="s">
        <v>39</v>
      </c>
      <c r="J25" s="8" t="s">
        <v>40</v>
      </c>
      <c r="K25" s="9">
        <v>654.29999999999995</v>
      </c>
      <c r="L25" s="10">
        <v>2.27</v>
      </c>
      <c r="M25" s="12">
        <f t="shared" si="1"/>
        <v>2.8794949999999999</v>
      </c>
      <c r="N25" s="14">
        <v>1760.07</v>
      </c>
      <c r="O25" s="13" t="s">
        <v>48</v>
      </c>
      <c r="P25" s="19" t="s">
        <v>33</v>
      </c>
    </row>
    <row r="26" spans="5:16" x14ac:dyDescent="0.25">
      <c r="E26" s="2" t="s">
        <v>8</v>
      </c>
      <c r="F26" s="3" t="s">
        <v>25</v>
      </c>
      <c r="G26" s="4" t="s">
        <v>10</v>
      </c>
      <c r="H26" s="5" t="s">
        <v>20</v>
      </c>
      <c r="I26" s="11" t="s">
        <v>41</v>
      </c>
      <c r="J26" s="8" t="s">
        <v>36</v>
      </c>
      <c r="K26" s="9">
        <v>1454</v>
      </c>
      <c r="L26" s="10">
        <v>0.91</v>
      </c>
      <c r="M26" s="12">
        <f t="shared" si="1"/>
        <v>1.1543350000000001</v>
      </c>
      <c r="N26" s="14">
        <v>1672.1</v>
      </c>
      <c r="O26" s="13" t="s">
        <v>48</v>
      </c>
      <c r="P26" s="19" t="s">
        <v>33</v>
      </c>
    </row>
    <row r="27" spans="5:16" x14ac:dyDescent="0.25">
      <c r="E27" s="2" t="s">
        <v>6</v>
      </c>
      <c r="F27" s="54" t="s">
        <v>57</v>
      </c>
      <c r="G27" s="55"/>
      <c r="H27" s="56"/>
      <c r="I27" s="60" t="s">
        <v>63</v>
      </c>
      <c r="J27" s="49" t="s">
        <v>33</v>
      </c>
      <c r="K27" s="50">
        <v>0</v>
      </c>
      <c r="L27" s="57"/>
      <c r="M27" s="52">
        <v>0</v>
      </c>
      <c r="N27" s="58">
        <f>SUM(N28:N32)</f>
        <v>28513.649999999998</v>
      </c>
      <c r="O27" s="13" t="s">
        <v>48</v>
      </c>
      <c r="P27" s="19" t="s">
        <v>56</v>
      </c>
    </row>
    <row r="28" spans="5:16" x14ac:dyDescent="0.25">
      <c r="E28" s="2" t="s">
        <v>8</v>
      </c>
      <c r="F28" s="3" t="s">
        <v>58</v>
      </c>
      <c r="G28" s="4" t="s">
        <v>10</v>
      </c>
      <c r="H28" s="5" t="s">
        <v>11</v>
      </c>
      <c r="I28" s="11" t="s">
        <v>35</v>
      </c>
      <c r="J28" s="8" t="s">
        <v>36</v>
      </c>
      <c r="K28" s="9">
        <v>600</v>
      </c>
      <c r="L28" s="10">
        <v>1.98</v>
      </c>
      <c r="M28" s="12">
        <f>L28*1.2685</f>
        <v>2.5116299999999998</v>
      </c>
      <c r="N28" s="14">
        <v>1506</v>
      </c>
      <c r="O28" s="13" t="s">
        <v>48</v>
      </c>
      <c r="P28" s="19" t="s">
        <v>56</v>
      </c>
    </row>
    <row r="29" spans="5:16" ht="56.25" x14ac:dyDescent="0.25">
      <c r="E29" s="2" t="s">
        <v>8</v>
      </c>
      <c r="F29" s="3" t="s">
        <v>59</v>
      </c>
      <c r="G29" s="4" t="s">
        <v>13</v>
      </c>
      <c r="H29" s="5" t="s">
        <v>14</v>
      </c>
      <c r="I29" s="11" t="s">
        <v>37</v>
      </c>
      <c r="J29" s="8" t="s">
        <v>5</v>
      </c>
      <c r="K29" s="9">
        <v>195</v>
      </c>
      <c r="L29" s="10">
        <v>41.79</v>
      </c>
      <c r="M29" s="12">
        <f t="shared" ref="M29:M32" si="2">L29*1.2685</f>
        <v>53.010614999999994</v>
      </c>
      <c r="N29" s="14">
        <v>10087.35</v>
      </c>
      <c r="O29" s="13" t="s">
        <v>48</v>
      </c>
      <c r="P29" s="19" t="s">
        <v>56</v>
      </c>
    </row>
    <row r="30" spans="5:16" x14ac:dyDescent="0.25">
      <c r="E30" s="2" t="s">
        <v>8</v>
      </c>
      <c r="F30" s="3" t="s">
        <v>60</v>
      </c>
      <c r="G30" s="4" t="s">
        <v>10</v>
      </c>
      <c r="H30" s="5" t="s">
        <v>16</v>
      </c>
      <c r="I30" s="11" t="s">
        <v>38</v>
      </c>
      <c r="J30" s="8" t="s">
        <v>36</v>
      </c>
      <c r="K30" s="9">
        <v>600</v>
      </c>
      <c r="L30" s="10">
        <v>20.37</v>
      </c>
      <c r="M30" s="12">
        <f t="shared" si="2"/>
        <v>25.839345000000002</v>
      </c>
      <c r="N30" s="14">
        <v>15504</v>
      </c>
      <c r="O30" s="13" t="s">
        <v>48</v>
      </c>
      <c r="P30" s="19" t="s">
        <v>56</v>
      </c>
    </row>
    <row r="31" spans="5:16" ht="33.75" x14ac:dyDescent="0.25">
      <c r="E31" s="2" t="s">
        <v>8</v>
      </c>
      <c r="F31" s="3" t="s">
        <v>61</v>
      </c>
      <c r="G31" s="4" t="s">
        <v>13</v>
      </c>
      <c r="H31" s="7" t="s">
        <v>18</v>
      </c>
      <c r="I31" s="11" t="s">
        <v>39</v>
      </c>
      <c r="J31" s="8" t="s">
        <v>40</v>
      </c>
      <c r="K31" s="9">
        <v>270</v>
      </c>
      <c r="L31" s="10">
        <v>2.27</v>
      </c>
      <c r="M31" s="12">
        <f t="shared" si="2"/>
        <v>2.8794949999999999</v>
      </c>
      <c r="N31" s="14">
        <v>726.3</v>
      </c>
      <c r="O31" s="13" t="s">
        <v>48</v>
      </c>
      <c r="P31" s="19" t="s">
        <v>56</v>
      </c>
    </row>
    <row r="32" spans="5:16" x14ac:dyDescent="0.25">
      <c r="E32" s="2" t="s">
        <v>8</v>
      </c>
      <c r="F32" s="3" t="s">
        <v>62</v>
      </c>
      <c r="G32" s="4" t="s">
        <v>10</v>
      </c>
      <c r="H32" s="5" t="s">
        <v>20</v>
      </c>
      <c r="I32" s="11" t="s">
        <v>41</v>
      </c>
      <c r="J32" s="8" t="s">
        <v>36</v>
      </c>
      <c r="K32" s="9">
        <v>600</v>
      </c>
      <c r="L32" s="10">
        <v>0.91</v>
      </c>
      <c r="M32" s="12">
        <f t="shared" si="2"/>
        <v>1.1543350000000001</v>
      </c>
      <c r="N32" s="14">
        <v>690</v>
      </c>
      <c r="O32" s="13" t="s">
        <v>48</v>
      </c>
      <c r="P32" s="19" t="s">
        <v>56</v>
      </c>
    </row>
    <row r="33" spans="5:16" x14ac:dyDescent="0.25">
      <c r="E33" s="2" t="s">
        <v>6</v>
      </c>
      <c r="F33" s="54" t="s">
        <v>64</v>
      </c>
      <c r="G33" s="55"/>
      <c r="H33" s="59"/>
      <c r="I33" s="60" t="s">
        <v>70</v>
      </c>
      <c r="J33" s="49" t="s">
        <v>33</v>
      </c>
      <c r="K33" s="50">
        <v>0</v>
      </c>
      <c r="L33" s="57"/>
      <c r="M33" s="52">
        <v>0</v>
      </c>
      <c r="N33" s="58">
        <f>SUM(N34:N38)</f>
        <v>77999.16</v>
      </c>
      <c r="O33" s="13" t="s">
        <v>48</v>
      </c>
      <c r="P33" s="19" t="s">
        <v>56</v>
      </c>
    </row>
    <row r="34" spans="5:16" x14ac:dyDescent="0.25">
      <c r="E34" s="2" t="s">
        <v>8</v>
      </c>
      <c r="F34" s="3" t="s">
        <v>65</v>
      </c>
      <c r="G34" s="4" t="s">
        <v>10</v>
      </c>
      <c r="H34" s="5" t="s">
        <v>11</v>
      </c>
      <c r="I34" s="11" t="s">
        <v>35</v>
      </c>
      <c r="J34" s="8" t="s">
        <v>36</v>
      </c>
      <c r="K34" s="9">
        <v>1925</v>
      </c>
      <c r="L34" s="10">
        <v>1.98</v>
      </c>
      <c r="M34" s="12">
        <f>L34*1.2685</f>
        <v>2.5116299999999998</v>
      </c>
      <c r="N34" s="14">
        <v>4831.75</v>
      </c>
      <c r="O34" s="13" t="s">
        <v>48</v>
      </c>
      <c r="P34" s="19" t="s">
        <v>56</v>
      </c>
    </row>
    <row r="35" spans="5:16" ht="56.25" x14ac:dyDescent="0.25">
      <c r="E35" s="2" t="s">
        <v>8</v>
      </c>
      <c r="F35" s="3" t="s">
        <v>66</v>
      </c>
      <c r="G35" s="4" t="s">
        <v>13</v>
      </c>
      <c r="H35" s="5" t="s">
        <v>14</v>
      </c>
      <c r="I35" s="11" t="s">
        <v>37</v>
      </c>
      <c r="J35" s="8" t="s">
        <v>5</v>
      </c>
      <c r="K35" s="9">
        <v>365</v>
      </c>
      <c r="L35" s="10">
        <v>41.79</v>
      </c>
      <c r="M35" s="12">
        <f t="shared" ref="M35:M38" si="3">L35*1.2685</f>
        <v>53.010614999999994</v>
      </c>
      <c r="N35" s="14">
        <v>18881.45</v>
      </c>
      <c r="O35" s="13" t="s">
        <v>48</v>
      </c>
      <c r="P35" s="19" t="s">
        <v>56</v>
      </c>
    </row>
    <row r="36" spans="5:16" x14ac:dyDescent="0.25">
      <c r="E36" s="2" t="s">
        <v>8</v>
      </c>
      <c r="F36" s="3" t="s">
        <v>67</v>
      </c>
      <c r="G36" s="4" t="s">
        <v>10</v>
      </c>
      <c r="H36" s="5" t="s">
        <v>16</v>
      </c>
      <c r="I36" s="11" t="s">
        <v>38</v>
      </c>
      <c r="J36" s="8" t="s">
        <v>36</v>
      </c>
      <c r="K36" s="9">
        <v>1925</v>
      </c>
      <c r="L36" s="10">
        <v>20.37</v>
      </c>
      <c r="M36" s="12">
        <f t="shared" si="3"/>
        <v>25.839345000000002</v>
      </c>
      <c r="N36" s="14">
        <v>49742</v>
      </c>
      <c r="O36" s="13" t="s">
        <v>48</v>
      </c>
      <c r="P36" s="19" t="s">
        <v>56</v>
      </c>
    </row>
    <row r="37" spans="5:16" ht="33.75" x14ac:dyDescent="0.25">
      <c r="E37" s="2" t="s">
        <v>8</v>
      </c>
      <c r="F37" s="3" t="s">
        <v>68</v>
      </c>
      <c r="G37" s="4" t="s">
        <v>13</v>
      </c>
      <c r="H37" s="7" t="s">
        <v>18</v>
      </c>
      <c r="I37" s="11" t="s">
        <v>39</v>
      </c>
      <c r="J37" s="8" t="s">
        <v>40</v>
      </c>
      <c r="K37" s="9">
        <v>866.25</v>
      </c>
      <c r="L37" s="10">
        <v>2.27</v>
      </c>
      <c r="M37" s="12">
        <f t="shared" si="3"/>
        <v>2.8794949999999999</v>
      </c>
      <c r="N37" s="14">
        <v>2330.21</v>
      </c>
      <c r="O37" s="13" t="s">
        <v>48</v>
      </c>
      <c r="P37" s="19" t="s">
        <v>56</v>
      </c>
    </row>
    <row r="38" spans="5:16" x14ac:dyDescent="0.25">
      <c r="E38" s="2" t="s">
        <v>8</v>
      </c>
      <c r="F38" s="3" t="s">
        <v>69</v>
      </c>
      <c r="G38" s="4" t="s">
        <v>10</v>
      </c>
      <c r="H38" s="5" t="s">
        <v>20</v>
      </c>
      <c r="I38" s="11" t="s">
        <v>41</v>
      </c>
      <c r="J38" s="8" t="s">
        <v>36</v>
      </c>
      <c r="K38" s="9">
        <v>1925</v>
      </c>
      <c r="L38" s="10">
        <v>0.91</v>
      </c>
      <c r="M38" s="12">
        <f t="shared" si="3"/>
        <v>1.1543350000000001</v>
      </c>
      <c r="N38" s="14">
        <v>2213.75</v>
      </c>
      <c r="O38" s="13" t="s">
        <v>48</v>
      </c>
      <c r="P38" s="19" t="s">
        <v>56</v>
      </c>
    </row>
    <row r="39" spans="5:16" x14ac:dyDescent="0.25">
      <c r="E39" s="2" t="s">
        <v>6</v>
      </c>
      <c r="F39" s="54" t="s">
        <v>72</v>
      </c>
      <c r="G39" s="55"/>
      <c r="H39" s="59"/>
      <c r="I39" s="60" t="s">
        <v>78</v>
      </c>
      <c r="J39" s="49" t="s">
        <v>33</v>
      </c>
      <c r="K39" s="50">
        <v>0</v>
      </c>
      <c r="L39" s="57">
        <v>1.98</v>
      </c>
      <c r="M39" s="52">
        <v>2.5099999999999998</v>
      </c>
      <c r="N39" s="58">
        <f>SUM(N40:N44)</f>
        <v>26686.730000000003</v>
      </c>
      <c r="O39" s="13" t="s">
        <v>48</v>
      </c>
      <c r="P39" s="19" t="s">
        <v>56</v>
      </c>
    </row>
    <row r="40" spans="5:16" x14ac:dyDescent="0.25">
      <c r="E40" s="2" t="s">
        <v>8</v>
      </c>
      <c r="F40" s="3" t="s">
        <v>97</v>
      </c>
      <c r="G40" s="4" t="s">
        <v>10</v>
      </c>
      <c r="H40" s="5" t="s">
        <v>11</v>
      </c>
      <c r="I40" s="11" t="s">
        <v>35</v>
      </c>
      <c r="J40" s="8" t="s">
        <v>36</v>
      </c>
      <c r="K40" s="9">
        <v>650</v>
      </c>
      <c r="L40" s="10">
        <v>1.98</v>
      </c>
      <c r="M40" s="12">
        <f>L40*1.2685</f>
        <v>2.5116299999999998</v>
      </c>
      <c r="N40" s="14">
        <v>1631.5</v>
      </c>
      <c r="O40" s="13" t="s">
        <v>48</v>
      </c>
      <c r="P40" s="19" t="s">
        <v>56</v>
      </c>
    </row>
    <row r="41" spans="5:16" ht="56.25" x14ac:dyDescent="0.25">
      <c r="E41" s="2" t="s">
        <v>8</v>
      </c>
      <c r="F41" s="3" t="s">
        <v>98</v>
      </c>
      <c r="G41" s="4" t="s">
        <v>13</v>
      </c>
      <c r="H41" s="5" t="s">
        <v>14</v>
      </c>
      <c r="I41" s="11" t="s">
        <v>37</v>
      </c>
      <c r="J41" s="8" t="s">
        <v>5</v>
      </c>
      <c r="K41" s="9">
        <v>130</v>
      </c>
      <c r="L41" s="10">
        <v>41.79</v>
      </c>
      <c r="M41" s="12">
        <f t="shared" ref="M41:M44" si="4">L41*1.2685</f>
        <v>53.010614999999994</v>
      </c>
      <c r="N41" s="14">
        <v>6724.9</v>
      </c>
      <c r="O41" s="13" t="s">
        <v>48</v>
      </c>
      <c r="P41" s="19" t="s">
        <v>56</v>
      </c>
    </row>
    <row r="42" spans="5:16" x14ac:dyDescent="0.25">
      <c r="E42" s="2" t="s">
        <v>8</v>
      </c>
      <c r="F42" s="3" t="s">
        <v>99</v>
      </c>
      <c r="G42" s="4" t="s">
        <v>10</v>
      </c>
      <c r="H42" s="5" t="s">
        <v>16</v>
      </c>
      <c r="I42" s="11" t="s">
        <v>38</v>
      </c>
      <c r="J42" s="8" t="s">
        <v>36</v>
      </c>
      <c r="K42" s="9">
        <v>650</v>
      </c>
      <c r="L42" s="10">
        <v>20.37</v>
      </c>
      <c r="M42" s="12">
        <f t="shared" si="4"/>
        <v>25.839345000000002</v>
      </c>
      <c r="N42" s="14">
        <v>16796</v>
      </c>
      <c r="O42" s="13" t="s">
        <v>48</v>
      </c>
      <c r="P42" s="19" t="s">
        <v>56</v>
      </c>
    </row>
    <row r="43" spans="5:16" ht="33.75" x14ac:dyDescent="0.25">
      <c r="E43" s="2" t="s">
        <v>8</v>
      </c>
      <c r="F43" s="3" t="s">
        <v>100</v>
      </c>
      <c r="G43" s="4" t="s">
        <v>13</v>
      </c>
      <c r="H43" s="7" t="s">
        <v>18</v>
      </c>
      <c r="I43" s="11" t="s">
        <v>39</v>
      </c>
      <c r="J43" s="8" t="s">
        <v>40</v>
      </c>
      <c r="K43" s="9">
        <v>292.5</v>
      </c>
      <c r="L43" s="10">
        <v>2.27</v>
      </c>
      <c r="M43" s="12">
        <f t="shared" si="4"/>
        <v>2.8794949999999999</v>
      </c>
      <c r="N43" s="14">
        <v>786.83</v>
      </c>
      <c r="O43" s="13" t="s">
        <v>48</v>
      </c>
      <c r="P43" s="19" t="s">
        <v>56</v>
      </c>
    </row>
    <row r="44" spans="5:16" x14ac:dyDescent="0.25">
      <c r="E44" s="2" t="s">
        <v>8</v>
      </c>
      <c r="F44" s="3" t="s">
        <v>71</v>
      </c>
      <c r="G44" s="4" t="s">
        <v>10</v>
      </c>
      <c r="H44" s="5" t="s">
        <v>20</v>
      </c>
      <c r="I44" s="11" t="s">
        <v>41</v>
      </c>
      <c r="J44" s="8" t="s">
        <v>36</v>
      </c>
      <c r="K44" s="9">
        <v>650</v>
      </c>
      <c r="L44" s="10">
        <v>0.91</v>
      </c>
      <c r="M44" s="12">
        <f t="shared" si="4"/>
        <v>1.1543350000000001</v>
      </c>
      <c r="N44" s="14">
        <v>747.5</v>
      </c>
      <c r="O44" s="13" t="s">
        <v>48</v>
      </c>
      <c r="P44" s="19" t="s">
        <v>56</v>
      </c>
    </row>
    <row r="45" spans="5:16" x14ac:dyDescent="0.25">
      <c r="E45" s="2" t="s">
        <v>6</v>
      </c>
      <c r="F45" s="54" t="s">
        <v>101</v>
      </c>
      <c r="G45" s="55"/>
      <c r="H45" s="59"/>
      <c r="I45" s="60" t="s">
        <v>79</v>
      </c>
      <c r="J45" s="49" t="s">
        <v>33</v>
      </c>
      <c r="K45" s="50">
        <v>0</v>
      </c>
      <c r="L45" s="57"/>
      <c r="M45" s="52">
        <v>0</v>
      </c>
      <c r="N45" s="58">
        <f>SUM(N46:N50)</f>
        <v>9226.119999999999</v>
      </c>
      <c r="O45" s="13" t="s">
        <v>48</v>
      </c>
      <c r="P45" s="19" t="s">
        <v>56</v>
      </c>
    </row>
    <row r="46" spans="5:16" x14ac:dyDescent="0.25">
      <c r="E46" s="2" t="s">
        <v>8</v>
      </c>
      <c r="F46" s="3" t="s">
        <v>73</v>
      </c>
      <c r="G46" s="4" t="s">
        <v>10</v>
      </c>
      <c r="H46" s="5" t="s">
        <v>11</v>
      </c>
      <c r="I46" s="11" t="s">
        <v>35</v>
      </c>
      <c r="J46" s="8" t="s">
        <v>36</v>
      </c>
      <c r="K46" s="9">
        <v>292</v>
      </c>
      <c r="L46" s="10">
        <v>1.98</v>
      </c>
      <c r="M46" s="12">
        <f>L46*1.2685</f>
        <v>2.5116299999999998</v>
      </c>
      <c r="N46" s="14">
        <v>732.92</v>
      </c>
      <c r="O46" s="13" t="s">
        <v>48</v>
      </c>
      <c r="P46" s="19" t="s">
        <v>56</v>
      </c>
    </row>
    <row r="47" spans="5:16" ht="56.25" x14ac:dyDescent="0.25">
      <c r="E47" s="2" t="s">
        <v>8</v>
      </c>
      <c r="F47" s="3" t="s">
        <v>74</v>
      </c>
      <c r="G47" s="4" t="s">
        <v>13</v>
      </c>
      <c r="H47" s="5" t="s">
        <v>14</v>
      </c>
      <c r="I47" s="11" t="s">
        <v>37</v>
      </c>
      <c r="J47" s="8" t="s">
        <v>5</v>
      </c>
      <c r="K47" s="9">
        <v>5</v>
      </c>
      <c r="L47" s="10">
        <v>41.79</v>
      </c>
      <c r="M47" s="12">
        <f t="shared" ref="M47:M50" si="5">L47*1.2685</f>
        <v>53.010614999999994</v>
      </c>
      <c r="N47" s="14">
        <v>258.64999999999998</v>
      </c>
      <c r="O47" s="13" t="s">
        <v>48</v>
      </c>
      <c r="P47" s="19" t="s">
        <v>56</v>
      </c>
    </row>
    <row r="48" spans="5:16" x14ac:dyDescent="0.25">
      <c r="E48" s="2" t="s">
        <v>8</v>
      </c>
      <c r="F48" s="3" t="s">
        <v>75</v>
      </c>
      <c r="G48" s="4" t="s">
        <v>10</v>
      </c>
      <c r="H48" s="5" t="s">
        <v>16</v>
      </c>
      <c r="I48" s="11" t="s">
        <v>38</v>
      </c>
      <c r="J48" s="8" t="s">
        <v>36</v>
      </c>
      <c r="K48" s="9">
        <v>292</v>
      </c>
      <c r="L48" s="10">
        <v>20.37</v>
      </c>
      <c r="M48" s="12">
        <f t="shared" si="5"/>
        <v>25.839345000000002</v>
      </c>
      <c r="N48" s="14">
        <v>7545.28</v>
      </c>
      <c r="O48" s="13" t="s">
        <v>48</v>
      </c>
      <c r="P48" s="19" t="s">
        <v>56</v>
      </c>
    </row>
    <row r="49" spans="5:16" ht="33.75" x14ac:dyDescent="0.25">
      <c r="E49" s="2" t="s">
        <v>8</v>
      </c>
      <c r="F49" s="3" t="s">
        <v>76</v>
      </c>
      <c r="G49" s="4" t="s">
        <v>13</v>
      </c>
      <c r="H49" s="7" t="s">
        <v>18</v>
      </c>
      <c r="I49" s="11" t="s">
        <v>39</v>
      </c>
      <c r="J49" s="8" t="s">
        <v>40</v>
      </c>
      <c r="K49" s="9">
        <v>131.4</v>
      </c>
      <c r="L49" s="10">
        <v>2.27</v>
      </c>
      <c r="M49" s="12">
        <f t="shared" si="5"/>
        <v>2.8794949999999999</v>
      </c>
      <c r="N49" s="14">
        <v>353.47</v>
      </c>
      <c r="O49" s="13" t="s">
        <v>48</v>
      </c>
      <c r="P49" s="19" t="s">
        <v>56</v>
      </c>
    </row>
    <row r="50" spans="5:16" x14ac:dyDescent="0.25">
      <c r="E50" s="2" t="s">
        <v>8</v>
      </c>
      <c r="F50" s="3" t="s">
        <v>77</v>
      </c>
      <c r="G50" s="4" t="s">
        <v>10</v>
      </c>
      <c r="H50" s="5" t="s">
        <v>20</v>
      </c>
      <c r="I50" s="11" t="s">
        <v>41</v>
      </c>
      <c r="J50" s="8" t="s">
        <v>36</v>
      </c>
      <c r="K50" s="9">
        <v>292</v>
      </c>
      <c r="L50" s="10">
        <v>0.91</v>
      </c>
      <c r="M50" s="12">
        <f t="shared" si="5"/>
        <v>1.1543350000000001</v>
      </c>
      <c r="N50" s="14">
        <v>335.8</v>
      </c>
      <c r="O50" s="13" t="s">
        <v>48</v>
      </c>
      <c r="P50" s="19" t="s">
        <v>56</v>
      </c>
    </row>
    <row r="51" spans="5:16" x14ac:dyDescent="0.25">
      <c r="E51" s="2" t="s">
        <v>6</v>
      </c>
      <c r="F51" s="54" t="s">
        <v>80</v>
      </c>
      <c r="G51" s="55"/>
      <c r="H51" s="56"/>
      <c r="I51" s="60" t="s">
        <v>92</v>
      </c>
      <c r="J51" s="49" t="s">
        <v>33</v>
      </c>
      <c r="K51" s="50">
        <v>0</v>
      </c>
      <c r="L51" s="57"/>
      <c r="M51" s="52">
        <v>0</v>
      </c>
      <c r="N51" s="58">
        <f>SUM(N52:N53)</f>
        <v>3424.94</v>
      </c>
      <c r="O51" s="13" t="s">
        <v>48</v>
      </c>
      <c r="P51" s="19" t="s">
        <v>56</v>
      </c>
    </row>
    <row r="52" spans="5:16" ht="33.75" x14ac:dyDescent="0.25">
      <c r="E52" s="2" t="s">
        <v>8</v>
      </c>
      <c r="F52" s="3" t="s">
        <v>81</v>
      </c>
      <c r="G52" s="4" t="s">
        <v>82</v>
      </c>
      <c r="H52" s="5" t="s">
        <v>83</v>
      </c>
      <c r="I52" s="11" t="s">
        <v>93</v>
      </c>
      <c r="J52" s="8" t="s">
        <v>94</v>
      </c>
      <c r="K52" s="9">
        <v>2.25</v>
      </c>
      <c r="L52" s="10">
        <v>225</v>
      </c>
      <c r="M52" s="12">
        <f>L52*1.2685</f>
        <v>285.41249999999997</v>
      </c>
      <c r="N52" s="14">
        <v>849.11</v>
      </c>
      <c r="O52" s="13" t="s">
        <v>48</v>
      </c>
      <c r="P52" s="19" t="s">
        <v>56</v>
      </c>
    </row>
    <row r="53" spans="5:16" ht="22.5" x14ac:dyDescent="0.25">
      <c r="E53" s="2" t="s">
        <v>8</v>
      </c>
      <c r="F53" s="3" t="s">
        <v>84</v>
      </c>
      <c r="G53" s="4" t="s">
        <v>82</v>
      </c>
      <c r="H53" s="5" t="s">
        <v>85</v>
      </c>
      <c r="I53" s="11" t="s">
        <v>95</v>
      </c>
      <c r="J53" s="8" t="s">
        <v>94</v>
      </c>
      <c r="K53" s="9">
        <v>2.37</v>
      </c>
      <c r="L53" s="10">
        <v>648</v>
      </c>
      <c r="M53" s="12">
        <f>L53*1.2685</f>
        <v>821.98799999999994</v>
      </c>
      <c r="N53" s="14">
        <v>2575.83</v>
      </c>
      <c r="O53" s="13" t="s">
        <v>48</v>
      </c>
      <c r="P53" s="19" t="s">
        <v>56</v>
      </c>
    </row>
    <row r="54" spans="5:16" x14ac:dyDescent="0.25">
      <c r="E54" s="2" t="s">
        <v>6</v>
      </c>
      <c r="F54" s="54" t="s">
        <v>86</v>
      </c>
      <c r="G54" s="55"/>
      <c r="H54" s="59"/>
      <c r="I54" s="60" t="s">
        <v>96</v>
      </c>
      <c r="J54" s="49" t="s">
        <v>33</v>
      </c>
      <c r="K54" s="50">
        <v>0</v>
      </c>
      <c r="L54" s="57"/>
      <c r="M54" s="52">
        <v>0</v>
      </c>
      <c r="N54" s="58">
        <f>SUM(N55:N59)</f>
        <v>14907.155448199999</v>
      </c>
      <c r="O54" s="13" t="s">
        <v>48</v>
      </c>
      <c r="P54" s="19" t="s">
        <v>56</v>
      </c>
    </row>
    <row r="55" spans="5:16" x14ac:dyDescent="0.25">
      <c r="E55" s="2" t="s">
        <v>8</v>
      </c>
      <c r="F55" s="3" t="s">
        <v>87</v>
      </c>
      <c r="G55" s="4" t="s">
        <v>10</v>
      </c>
      <c r="H55" s="5" t="s">
        <v>11</v>
      </c>
      <c r="I55" s="11" t="s">
        <v>35</v>
      </c>
      <c r="J55" s="8" t="s">
        <v>36</v>
      </c>
      <c r="K55" s="9">
        <v>476.92</v>
      </c>
      <c r="L55" s="10">
        <v>1.98</v>
      </c>
      <c r="M55" s="12">
        <f>L55*1.2685</f>
        <v>2.5116299999999998</v>
      </c>
      <c r="N55" s="14">
        <v>1197.07</v>
      </c>
      <c r="O55" s="13" t="s">
        <v>48</v>
      </c>
      <c r="P55" s="19" t="s">
        <v>56</v>
      </c>
    </row>
    <row r="56" spans="5:16" ht="56.25" x14ac:dyDescent="0.25">
      <c r="E56" s="2" t="s">
        <v>8</v>
      </c>
      <c r="F56" s="3" t="s">
        <v>88</v>
      </c>
      <c r="G56" s="4" t="s">
        <v>13</v>
      </c>
      <c r="H56" s="5" t="s">
        <v>14</v>
      </c>
      <c r="I56" s="11" t="s">
        <v>37</v>
      </c>
      <c r="J56" s="8" t="s">
        <v>5</v>
      </c>
      <c r="K56" s="9">
        <v>5</v>
      </c>
      <c r="L56" s="10">
        <v>41.79</v>
      </c>
      <c r="M56" s="12">
        <f t="shared" ref="M56:M59" si="6">L56*1.2685</f>
        <v>53.010614999999994</v>
      </c>
      <c r="N56" s="14">
        <v>258.64999999999998</v>
      </c>
      <c r="O56" s="13" t="s">
        <v>48</v>
      </c>
      <c r="P56" s="19" t="s">
        <v>56</v>
      </c>
    </row>
    <row r="57" spans="5:16" x14ac:dyDescent="0.25">
      <c r="E57" s="2" t="s">
        <v>8</v>
      </c>
      <c r="F57" s="3" t="s">
        <v>89</v>
      </c>
      <c r="G57" s="4" t="s">
        <v>10</v>
      </c>
      <c r="H57" s="5" t="s">
        <v>16</v>
      </c>
      <c r="I57" s="11" t="s">
        <v>38</v>
      </c>
      <c r="J57" s="8" t="s">
        <v>36</v>
      </c>
      <c r="K57" s="9">
        <v>476.92</v>
      </c>
      <c r="L57" s="10">
        <v>20.37</v>
      </c>
      <c r="M57" s="12">
        <f t="shared" si="6"/>
        <v>25.839345000000002</v>
      </c>
      <c r="N57" s="14">
        <v>12323.61</v>
      </c>
      <c r="O57" s="13" t="s">
        <v>48</v>
      </c>
      <c r="P57" s="19" t="s">
        <v>56</v>
      </c>
    </row>
    <row r="58" spans="5:16" ht="33.75" x14ac:dyDescent="0.25">
      <c r="E58" s="2" t="s">
        <v>8</v>
      </c>
      <c r="F58" s="3" t="s">
        <v>90</v>
      </c>
      <c r="G58" s="4" t="s">
        <v>13</v>
      </c>
      <c r="H58" s="7" t="s">
        <v>18</v>
      </c>
      <c r="I58" s="11" t="s">
        <v>39</v>
      </c>
      <c r="J58" s="8" t="s">
        <v>40</v>
      </c>
      <c r="K58" s="9">
        <v>214.61</v>
      </c>
      <c r="L58" s="10">
        <v>2.27</v>
      </c>
      <c r="M58" s="12">
        <f t="shared" si="6"/>
        <v>2.8794949999999999</v>
      </c>
      <c r="N58" s="14">
        <v>577.29999999999995</v>
      </c>
      <c r="O58" s="13" t="s">
        <v>48</v>
      </c>
      <c r="P58" s="19" t="s">
        <v>56</v>
      </c>
    </row>
    <row r="59" spans="5:16" x14ac:dyDescent="0.25">
      <c r="E59" s="2" t="s">
        <v>8</v>
      </c>
      <c r="F59" s="3" t="s">
        <v>91</v>
      </c>
      <c r="G59" s="4" t="s">
        <v>10</v>
      </c>
      <c r="H59" s="5" t="s">
        <v>20</v>
      </c>
      <c r="I59" s="11" t="s">
        <v>41</v>
      </c>
      <c r="J59" s="8" t="s">
        <v>36</v>
      </c>
      <c r="K59" s="9">
        <v>476.92</v>
      </c>
      <c r="L59" s="10">
        <v>0.91</v>
      </c>
      <c r="M59" s="12">
        <f t="shared" si="6"/>
        <v>1.1543350000000001</v>
      </c>
      <c r="N59" s="14">
        <f>K59*M59</f>
        <v>550.52544820000003</v>
      </c>
      <c r="O59" s="13" t="s">
        <v>48</v>
      </c>
      <c r="P59" s="19" t="s">
        <v>56</v>
      </c>
    </row>
    <row r="60" spans="5:16" x14ac:dyDescent="0.25">
      <c r="E60" s="2" t="s">
        <v>6</v>
      </c>
      <c r="F60" s="54" t="s">
        <v>132</v>
      </c>
      <c r="G60" s="55"/>
      <c r="H60" s="59"/>
      <c r="I60" s="60" t="s">
        <v>133</v>
      </c>
      <c r="J60" s="49" t="s">
        <v>33</v>
      </c>
      <c r="K60" s="50">
        <v>0</v>
      </c>
      <c r="L60" s="57"/>
      <c r="M60" s="52">
        <v>0</v>
      </c>
      <c r="N60" s="58">
        <f>SUM(N61:N65)</f>
        <v>67246.039505549998</v>
      </c>
      <c r="O60" s="13" t="s">
        <v>48</v>
      </c>
      <c r="P60" s="19" t="s">
        <v>56</v>
      </c>
    </row>
    <row r="61" spans="5:16" x14ac:dyDescent="0.25">
      <c r="E61" s="2" t="s">
        <v>8</v>
      </c>
      <c r="F61" s="3" t="s">
        <v>159</v>
      </c>
      <c r="G61" s="4" t="s">
        <v>10</v>
      </c>
      <c r="H61" s="5" t="s">
        <v>11</v>
      </c>
      <c r="I61" s="11" t="s">
        <v>35</v>
      </c>
      <c r="J61" s="8" t="s">
        <v>36</v>
      </c>
      <c r="K61" s="9">
        <v>1503.33</v>
      </c>
      <c r="L61" s="10">
        <v>1.98</v>
      </c>
      <c r="M61" s="12">
        <f t="shared" ref="M61:M65" si="7">L61*1.2685</f>
        <v>2.5116299999999998</v>
      </c>
      <c r="N61" s="14">
        <f>M61*K61</f>
        <v>3775.8087278999997</v>
      </c>
      <c r="O61" s="13" t="s">
        <v>48</v>
      </c>
      <c r="P61" s="19" t="s">
        <v>56</v>
      </c>
    </row>
    <row r="62" spans="5:16" ht="56.25" x14ac:dyDescent="0.25">
      <c r="E62" s="2" t="s">
        <v>8</v>
      </c>
      <c r="F62" s="3" t="s">
        <v>160</v>
      </c>
      <c r="G62" s="4" t="s">
        <v>13</v>
      </c>
      <c r="H62" s="5" t="s">
        <v>14</v>
      </c>
      <c r="I62" s="11" t="s">
        <v>37</v>
      </c>
      <c r="J62" s="8" t="s">
        <v>5</v>
      </c>
      <c r="K62" s="9">
        <v>395.05</v>
      </c>
      <c r="L62" s="10">
        <v>41.79</v>
      </c>
      <c r="M62" s="12">
        <f t="shared" si="7"/>
        <v>53.010614999999994</v>
      </c>
      <c r="N62" s="14">
        <f t="shared" ref="N62:N65" si="8">M62*K62</f>
        <v>20941.843455749997</v>
      </c>
      <c r="O62" s="13" t="s">
        <v>48</v>
      </c>
      <c r="P62" s="19" t="s">
        <v>56</v>
      </c>
    </row>
    <row r="63" spans="5:16" x14ac:dyDescent="0.25">
      <c r="E63" s="2" t="s">
        <v>8</v>
      </c>
      <c r="F63" s="3" t="s">
        <v>161</v>
      </c>
      <c r="G63" s="4" t="s">
        <v>10</v>
      </c>
      <c r="H63" s="5" t="s">
        <v>16</v>
      </c>
      <c r="I63" s="11" t="s">
        <v>38</v>
      </c>
      <c r="J63" s="8" t="s">
        <v>36</v>
      </c>
      <c r="K63" s="9">
        <v>1503.33</v>
      </c>
      <c r="L63" s="10">
        <v>20.37</v>
      </c>
      <c r="M63" s="12">
        <f t="shared" si="7"/>
        <v>25.839345000000002</v>
      </c>
      <c r="N63" s="14">
        <f t="shared" si="8"/>
        <v>38845.062518849998</v>
      </c>
      <c r="O63" s="13" t="s">
        <v>48</v>
      </c>
      <c r="P63" s="19" t="s">
        <v>56</v>
      </c>
    </row>
    <row r="64" spans="5:16" ht="33.75" x14ac:dyDescent="0.25">
      <c r="E64" s="2" t="s">
        <v>8</v>
      </c>
      <c r="F64" s="3" t="s">
        <v>162</v>
      </c>
      <c r="G64" s="4" t="s">
        <v>13</v>
      </c>
      <c r="H64" s="7" t="s">
        <v>18</v>
      </c>
      <c r="I64" s="11" t="s">
        <v>39</v>
      </c>
      <c r="J64" s="8" t="s">
        <v>40</v>
      </c>
      <c r="K64" s="9">
        <v>676.5</v>
      </c>
      <c r="L64" s="10">
        <v>2.27</v>
      </c>
      <c r="M64" s="12">
        <f t="shared" si="7"/>
        <v>2.8794949999999999</v>
      </c>
      <c r="N64" s="14">
        <f t="shared" si="8"/>
        <v>1947.9783674999999</v>
      </c>
      <c r="O64" s="13" t="s">
        <v>48</v>
      </c>
      <c r="P64" s="19" t="s">
        <v>56</v>
      </c>
    </row>
    <row r="65" spans="5:16" x14ac:dyDescent="0.25">
      <c r="E65" s="2" t="s">
        <v>8</v>
      </c>
      <c r="F65" s="3" t="s">
        <v>163</v>
      </c>
      <c r="G65" s="4" t="s">
        <v>10</v>
      </c>
      <c r="H65" s="5" t="s">
        <v>20</v>
      </c>
      <c r="I65" s="11" t="s">
        <v>41</v>
      </c>
      <c r="J65" s="8" t="s">
        <v>36</v>
      </c>
      <c r="K65" s="9">
        <v>1503.33</v>
      </c>
      <c r="L65" s="10">
        <v>0.91</v>
      </c>
      <c r="M65" s="12">
        <f t="shared" si="7"/>
        <v>1.1543350000000001</v>
      </c>
      <c r="N65" s="14">
        <f t="shared" si="8"/>
        <v>1735.34643555</v>
      </c>
      <c r="O65" s="13" t="s">
        <v>48</v>
      </c>
      <c r="P65" s="19" t="s">
        <v>56</v>
      </c>
    </row>
    <row r="66" spans="5:16" x14ac:dyDescent="0.25">
      <c r="E66" s="2" t="s">
        <v>6</v>
      </c>
      <c r="F66" s="54" t="s">
        <v>194</v>
      </c>
      <c r="G66" s="55"/>
      <c r="H66" s="59"/>
      <c r="I66" s="60" t="s">
        <v>134</v>
      </c>
      <c r="J66" s="49" t="s">
        <v>33</v>
      </c>
      <c r="K66" s="50">
        <v>0</v>
      </c>
      <c r="L66" s="57"/>
      <c r="M66" s="52">
        <v>0</v>
      </c>
      <c r="N66" s="58">
        <f>SUM(N67:N71)</f>
        <v>53948.037533827497</v>
      </c>
      <c r="O66" s="13" t="s">
        <v>48</v>
      </c>
      <c r="P66" s="19" t="s">
        <v>56</v>
      </c>
    </row>
    <row r="67" spans="5:16" x14ac:dyDescent="0.25">
      <c r="E67" s="2" t="s">
        <v>8</v>
      </c>
      <c r="F67" s="3" t="s">
        <v>200</v>
      </c>
      <c r="G67" s="4" t="s">
        <v>10</v>
      </c>
      <c r="H67" s="5" t="s">
        <v>11</v>
      </c>
      <c r="I67" s="11" t="s">
        <v>35</v>
      </c>
      <c r="J67" s="8" t="s">
        <v>36</v>
      </c>
      <c r="K67" s="9">
        <v>1214.01</v>
      </c>
      <c r="L67" s="10">
        <v>1.98</v>
      </c>
      <c r="M67" s="12">
        <f>L67*1.2685</f>
        <v>2.5116299999999998</v>
      </c>
      <c r="N67" s="14">
        <f>M67*K67</f>
        <v>3049.1439363</v>
      </c>
      <c r="O67" s="13" t="s">
        <v>48</v>
      </c>
      <c r="P67" s="19" t="s">
        <v>56</v>
      </c>
    </row>
    <row r="68" spans="5:16" ht="56.25" x14ac:dyDescent="0.25">
      <c r="E68" s="2" t="s">
        <v>8</v>
      </c>
      <c r="F68" s="3" t="s">
        <v>201</v>
      </c>
      <c r="G68" s="4" t="s">
        <v>13</v>
      </c>
      <c r="H68" s="5" t="s">
        <v>14</v>
      </c>
      <c r="I68" s="11" t="s">
        <v>37</v>
      </c>
      <c r="J68" s="8" t="s">
        <v>5</v>
      </c>
      <c r="K68" s="9">
        <v>312.3</v>
      </c>
      <c r="L68" s="10">
        <v>41.79</v>
      </c>
      <c r="M68" s="12">
        <f t="shared" ref="M68:M71" si="9">L68*1.2685</f>
        <v>53.010614999999994</v>
      </c>
      <c r="N68" s="14">
        <f t="shared" ref="N68:N71" si="10">M68*K68</f>
        <v>16555.2150645</v>
      </c>
      <c r="O68" s="13" t="s">
        <v>48</v>
      </c>
      <c r="P68" s="19" t="s">
        <v>56</v>
      </c>
    </row>
    <row r="69" spans="5:16" x14ac:dyDescent="0.25">
      <c r="E69" s="2" t="s">
        <v>8</v>
      </c>
      <c r="F69" s="3" t="s">
        <v>202</v>
      </c>
      <c r="G69" s="4" t="s">
        <v>10</v>
      </c>
      <c r="H69" s="5" t="s">
        <v>16</v>
      </c>
      <c r="I69" s="11" t="s">
        <v>38</v>
      </c>
      <c r="J69" s="8" t="s">
        <v>36</v>
      </c>
      <c r="K69" s="9">
        <v>1214.01</v>
      </c>
      <c r="L69" s="10">
        <v>20.37</v>
      </c>
      <c r="M69" s="12">
        <f t="shared" si="9"/>
        <v>25.839345000000002</v>
      </c>
      <c r="N69" s="14">
        <f t="shared" si="10"/>
        <v>31369.223223450001</v>
      </c>
      <c r="O69" s="13" t="s">
        <v>48</v>
      </c>
      <c r="P69" s="19" t="s">
        <v>56</v>
      </c>
    </row>
    <row r="70" spans="5:16" ht="33.75" x14ac:dyDescent="0.25">
      <c r="E70" s="2" t="s">
        <v>8</v>
      </c>
      <c r="F70" s="3" t="s">
        <v>203</v>
      </c>
      <c r="G70" s="4" t="s">
        <v>13</v>
      </c>
      <c r="H70" s="7" t="s">
        <v>18</v>
      </c>
      <c r="I70" s="11" t="s">
        <v>39</v>
      </c>
      <c r="J70" s="8" t="s">
        <v>40</v>
      </c>
      <c r="K70" s="9">
        <f>K67*0.15*3</f>
        <v>546.30449999999996</v>
      </c>
      <c r="L70" s="10">
        <v>2.27</v>
      </c>
      <c r="M70" s="12">
        <f t="shared" si="9"/>
        <v>2.8794949999999999</v>
      </c>
      <c r="N70" s="14">
        <f t="shared" si="10"/>
        <v>1573.0810762274998</v>
      </c>
      <c r="O70" s="13" t="s">
        <v>48</v>
      </c>
      <c r="P70" s="19" t="s">
        <v>56</v>
      </c>
    </row>
    <row r="71" spans="5:16" x14ac:dyDescent="0.25">
      <c r="E71" s="2" t="s">
        <v>8</v>
      </c>
      <c r="F71" s="3" t="s">
        <v>204</v>
      </c>
      <c r="G71" s="4" t="s">
        <v>10</v>
      </c>
      <c r="H71" s="5" t="s">
        <v>20</v>
      </c>
      <c r="I71" s="11" t="s">
        <v>41</v>
      </c>
      <c r="J71" s="8" t="s">
        <v>36</v>
      </c>
      <c r="K71" s="9">
        <v>1214.01</v>
      </c>
      <c r="L71" s="10">
        <v>0.91</v>
      </c>
      <c r="M71" s="12">
        <f t="shared" si="9"/>
        <v>1.1543350000000001</v>
      </c>
      <c r="N71" s="14">
        <f t="shared" si="10"/>
        <v>1401.3742333500002</v>
      </c>
      <c r="O71" s="13" t="s">
        <v>48</v>
      </c>
      <c r="P71" s="19" t="s">
        <v>56</v>
      </c>
    </row>
    <row r="72" spans="5:16" x14ac:dyDescent="0.25">
      <c r="E72" s="2" t="s">
        <v>6</v>
      </c>
      <c r="F72" s="54" t="s">
        <v>195</v>
      </c>
      <c r="G72" s="55"/>
      <c r="H72" s="59"/>
      <c r="I72" s="60" t="s">
        <v>135</v>
      </c>
      <c r="J72" s="49" t="s">
        <v>33</v>
      </c>
      <c r="K72" s="50">
        <v>0</v>
      </c>
      <c r="L72" s="57"/>
      <c r="M72" s="52">
        <v>0</v>
      </c>
      <c r="N72" s="58">
        <f>SUM(N73:N77)</f>
        <v>81080.897620212476</v>
      </c>
      <c r="O72" s="13" t="s">
        <v>48</v>
      </c>
      <c r="P72" s="19" t="s">
        <v>56</v>
      </c>
    </row>
    <row r="73" spans="5:16" x14ac:dyDescent="0.25">
      <c r="E73" s="2" t="s">
        <v>8</v>
      </c>
      <c r="F73" s="3" t="s">
        <v>205</v>
      </c>
      <c r="G73" s="4" t="s">
        <v>10</v>
      </c>
      <c r="H73" s="5" t="s">
        <v>11</v>
      </c>
      <c r="I73" s="11" t="s">
        <v>35</v>
      </c>
      <c r="J73" s="8" t="s">
        <v>36</v>
      </c>
      <c r="K73" s="9">
        <v>1842.35</v>
      </c>
      <c r="L73" s="10">
        <v>1.98</v>
      </c>
      <c r="M73" s="12">
        <f>L73*1.2685</f>
        <v>2.5116299999999998</v>
      </c>
      <c r="N73" s="14">
        <f>M73*K73</f>
        <v>4627.301530499999</v>
      </c>
      <c r="O73" s="13" t="s">
        <v>48</v>
      </c>
      <c r="P73" s="19" t="s">
        <v>56</v>
      </c>
    </row>
    <row r="74" spans="5:16" ht="56.25" x14ac:dyDescent="0.25">
      <c r="E74" s="2" t="s">
        <v>8</v>
      </c>
      <c r="F74" s="3" t="s">
        <v>206</v>
      </c>
      <c r="G74" s="4" t="s">
        <v>13</v>
      </c>
      <c r="H74" s="5" t="s">
        <v>14</v>
      </c>
      <c r="I74" s="11" t="s">
        <v>37</v>
      </c>
      <c r="J74" s="8" t="s">
        <v>5</v>
      </c>
      <c r="K74" s="9">
        <v>459.05</v>
      </c>
      <c r="L74" s="10">
        <v>41.79</v>
      </c>
      <c r="M74" s="12">
        <f t="shared" ref="M74:M77" si="11">L74*1.2685</f>
        <v>53.010614999999994</v>
      </c>
      <c r="N74" s="14">
        <f t="shared" ref="N74:N77" si="12">M74*K74</f>
        <v>24334.522815749999</v>
      </c>
      <c r="O74" s="13" t="s">
        <v>48</v>
      </c>
      <c r="P74" s="19" t="s">
        <v>56</v>
      </c>
    </row>
    <row r="75" spans="5:16" x14ac:dyDescent="0.25">
      <c r="E75" s="2" t="s">
        <v>8</v>
      </c>
      <c r="F75" s="3" t="s">
        <v>207</v>
      </c>
      <c r="G75" s="4" t="s">
        <v>10</v>
      </c>
      <c r="H75" s="5" t="s">
        <v>16</v>
      </c>
      <c r="I75" s="11" t="s">
        <v>38</v>
      </c>
      <c r="J75" s="8" t="s">
        <v>36</v>
      </c>
      <c r="K75" s="9">
        <v>1842.35</v>
      </c>
      <c r="L75" s="10">
        <v>20.37</v>
      </c>
      <c r="M75" s="12">
        <f t="shared" si="11"/>
        <v>25.839345000000002</v>
      </c>
      <c r="N75" s="14">
        <f t="shared" si="12"/>
        <v>47605.117260749998</v>
      </c>
      <c r="O75" s="13" t="s">
        <v>48</v>
      </c>
      <c r="P75" s="19" t="s">
        <v>56</v>
      </c>
    </row>
    <row r="76" spans="5:16" ht="33.75" x14ac:dyDescent="0.25">
      <c r="E76" s="2" t="s">
        <v>8</v>
      </c>
      <c r="F76" s="3" t="s">
        <v>208</v>
      </c>
      <c r="G76" s="4" t="s">
        <v>13</v>
      </c>
      <c r="H76" s="7" t="s">
        <v>18</v>
      </c>
      <c r="I76" s="11" t="s">
        <v>39</v>
      </c>
      <c r="J76" s="8" t="s">
        <v>40</v>
      </c>
      <c r="K76" s="9">
        <f>K73*0.15*3</f>
        <v>829.05749999999989</v>
      </c>
      <c r="L76" s="10">
        <v>2.27</v>
      </c>
      <c r="M76" s="12">
        <f t="shared" si="11"/>
        <v>2.8794949999999999</v>
      </c>
      <c r="N76" s="14">
        <f t="shared" si="12"/>
        <v>2387.2669259624995</v>
      </c>
      <c r="O76" s="13" t="s">
        <v>48</v>
      </c>
      <c r="P76" s="19" t="s">
        <v>56</v>
      </c>
    </row>
    <row r="77" spans="5:16" x14ac:dyDescent="0.25">
      <c r="E77" s="2" t="s">
        <v>8</v>
      </c>
      <c r="F77" s="3" t="s">
        <v>209</v>
      </c>
      <c r="G77" s="4" t="s">
        <v>10</v>
      </c>
      <c r="H77" s="5" t="s">
        <v>20</v>
      </c>
      <c r="I77" s="11" t="s">
        <v>41</v>
      </c>
      <c r="J77" s="8" t="s">
        <v>36</v>
      </c>
      <c r="K77" s="9">
        <v>1842.35</v>
      </c>
      <c r="L77" s="10">
        <v>0.91</v>
      </c>
      <c r="M77" s="12">
        <f t="shared" si="11"/>
        <v>1.1543350000000001</v>
      </c>
      <c r="N77" s="14">
        <f t="shared" si="12"/>
        <v>2126.6890872500003</v>
      </c>
      <c r="O77" s="13" t="s">
        <v>48</v>
      </c>
      <c r="P77" s="19" t="s">
        <v>56</v>
      </c>
    </row>
    <row r="78" spans="5:16" x14ac:dyDescent="0.25">
      <c r="E78" s="2" t="s">
        <v>6</v>
      </c>
      <c r="F78" s="54" t="s">
        <v>196</v>
      </c>
      <c r="G78" s="55"/>
      <c r="H78" s="59"/>
      <c r="I78" s="60" t="s">
        <v>136</v>
      </c>
      <c r="J78" s="49" t="s">
        <v>33</v>
      </c>
      <c r="K78" s="50">
        <v>0</v>
      </c>
      <c r="L78" s="57"/>
      <c r="M78" s="52">
        <v>0</v>
      </c>
      <c r="N78" s="58">
        <f>SUM(N79:N83)</f>
        <v>68457.625126197498</v>
      </c>
      <c r="O78" s="13" t="s">
        <v>48</v>
      </c>
      <c r="P78" s="19" t="s">
        <v>56</v>
      </c>
    </row>
    <row r="79" spans="5:16" x14ac:dyDescent="0.25">
      <c r="E79" s="2" t="s">
        <v>8</v>
      </c>
      <c r="F79" s="3" t="s">
        <v>210</v>
      </c>
      <c r="G79" s="4" t="s">
        <v>10</v>
      </c>
      <c r="H79" s="5" t="s">
        <v>11</v>
      </c>
      <c r="I79" s="11" t="s">
        <v>35</v>
      </c>
      <c r="J79" s="8" t="s">
        <v>36</v>
      </c>
      <c r="K79" s="9">
        <v>1643.09</v>
      </c>
      <c r="L79" s="10">
        <v>1.98</v>
      </c>
      <c r="M79" s="12">
        <f t="shared" ref="M79:M89" si="13">L79*1.2685</f>
        <v>2.5116299999999998</v>
      </c>
      <c r="N79" s="14">
        <f>M79*K79</f>
        <v>4126.8341366999994</v>
      </c>
      <c r="O79" s="13" t="s">
        <v>48</v>
      </c>
      <c r="P79" s="19" t="s">
        <v>56</v>
      </c>
    </row>
    <row r="80" spans="5:16" ht="56.25" x14ac:dyDescent="0.25">
      <c r="E80" s="2" t="s">
        <v>8</v>
      </c>
      <c r="F80" s="3" t="s">
        <v>211</v>
      </c>
      <c r="G80" s="4" t="s">
        <v>13</v>
      </c>
      <c r="H80" s="5" t="s">
        <v>14</v>
      </c>
      <c r="I80" s="11" t="s">
        <v>37</v>
      </c>
      <c r="J80" s="8" t="s">
        <v>5</v>
      </c>
      <c r="K80" s="9">
        <v>336.7</v>
      </c>
      <c r="L80" s="10">
        <v>41.79</v>
      </c>
      <c r="M80" s="12">
        <f t="shared" si="13"/>
        <v>53.010614999999994</v>
      </c>
      <c r="N80" s="14">
        <f t="shared" ref="N80:N83" si="14">M80*K80</f>
        <v>17848.674070499997</v>
      </c>
      <c r="O80" s="13" t="s">
        <v>48</v>
      </c>
      <c r="P80" s="19" t="s">
        <v>56</v>
      </c>
    </row>
    <row r="81" spans="5:16" x14ac:dyDescent="0.25">
      <c r="E81" s="2" t="s">
        <v>8</v>
      </c>
      <c r="F81" s="3" t="s">
        <v>212</v>
      </c>
      <c r="G81" s="4" t="s">
        <v>10</v>
      </c>
      <c r="H81" s="5" t="s">
        <v>16</v>
      </c>
      <c r="I81" s="11" t="s">
        <v>38</v>
      </c>
      <c r="J81" s="8" t="s">
        <v>36</v>
      </c>
      <c r="K81" s="9">
        <v>1643.09</v>
      </c>
      <c r="L81" s="10">
        <v>20.37</v>
      </c>
      <c r="M81" s="12">
        <f t="shared" si="13"/>
        <v>25.839345000000002</v>
      </c>
      <c r="N81" s="14">
        <f t="shared" si="14"/>
        <v>42456.369376050003</v>
      </c>
      <c r="O81" s="13" t="s">
        <v>48</v>
      </c>
      <c r="P81" s="19" t="s">
        <v>56</v>
      </c>
    </row>
    <row r="82" spans="5:16" ht="33.75" x14ac:dyDescent="0.25">
      <c r="E82" s="2" t="s">
        <v>8</v>
      </c>
      <c r="F82" s="3" t="s">
        <v>213</v>
      </c>
      <c r="G82" s="4" t="s">
        <v>13</v>
      </c>
      <c r="H82" s="7" t="s">
        <v>18</v>
      </c>
      <c r="I82" s="11" t="s">
        <v>39</v>
      </c>
      <c r="J82" s="8" t="s">
        <v>40</v>
      </c>
      <c r="K82" s="9">
        <f>K81*0.15*3</f>
        <v>739.39049999999997</v>
      </c>
      <c r="L82" s="10">
        <v>2.27</v>
      </c>
      <c r="M82" s="12">
        <f t="shared" si="13"/>
        <v>2.8794949999999999</v>
      </c>
      <c r="N82" s="14">
        <f t="shared" si="14"/>
        <v>2129.0712477974998</v>
      </c>
      <c r="O82" s="13" t="s">
        <v>48</v>
      </c>
      <c r="P82" s="19" t="s">
        <v>56</v>
      </c>
    </row>
    <row r="83" spans="5:16" x14ac:dyDescent="0.25">
      <c r="E83" s="2" t="s">
        <v>8</v>
      </c>
      <c r="F83" s="3" t="s">
        <v>214</v>
      </c>
      <c r="G83" s="4" t="s">
        <v>10</v>
      </c>
      <c r="H83" s="5" t="s">
        <v>20</v>
      </c>
      <c r="I83" s="11" t="s">
        <v>41</v>
      </c>
      <c r="J83" s="8" t="s">
        <v>36</v>
      </c>
      <c r="K83" s="9">
        <v>1643.09</v>
      </c>
      <c r="L83" s="10">
        <v>0.91</v>
      </c>
      <c r="M83" s="12">
        <f t="shared" si="13"/>
        <v>1.1543350000000001</v>
      </c>
      <c r="N83" s="14">
        <f t="shared" si="14"/>
        <v>1896.67629515</v>
      </c>
      <c r="O83" s="13" t="s">
        <v>48</v>
      </c>
      <c r="P83" s="19" t="s">
        <v>56</v>
      </c>
    </row>
    <row r="84" spans="5:16" x14ac:dyDescent="0.25">
      <c r="E84" s="2" t="s">
        <v>6</v>
      </c>
      <c r="F84" s="54" t="s">
        <v>197</v>
      </c>
      <c r="G84" s="55"/>
      <c r="H84" s="59"/>
      <c r="I84" s="60" t="s">
        <v>137</v>
      </c>
      <c r="J84" s="49" t="s">
        <v>33</v>
      </c>
      <c r="K84" s="50">
        <v>0</v>
      </c>
      <c r="L84" s="57"/>
      <c r="M84" s="12">
        <f t="shared" si="13"/>
        <v>0</v>
      </c>
      <c r="N84" s="58">
        <f>SUM(N85:N89)</f>
        <v>67719.021415557494</v>
      </c>
      <c r="O84" s="13" t="s">
        <v>48</v>
      </c>
      <c r="P84" s="19" t="s">
        <v>56</v>
      </c>
    </row>
    <row r="85" spans="5:16" x14ac:dyDescent="0.25">
      <c r="E85" s="2" t="s">
        <v>8</v>
      </c>
      <c r="F85" s="3" t="s">
        <v>215</v>
      </c>
      <c r="G85" s="4" t="s">
        <v>10</v>
      </c>
      <c r="H85" s="5" t="s">
        <v>11</v>
      </c>
      <c r="I85" s="11" t="s">
        <v>35</v>
      </c>
      <c r="J85" s="8" t="s">
        <v>36</v>
      </c>
      <c r="K85" s="9">
        <v>1544.33</v>
      </c>
      <c r="L85" s="10">
        <v>1.98</v>
      </c>
      <c r="M85" s="12">
        <f t="shared" si="13"/>
        <v>2.5116299999999998</v>
      </c>
      <c r="N85" s="14">
        <f>M85*K85</f>
        <v>3878.7855578999997</v>
      </c>
      <c r="O85" s="13" t="s">
        <v>48</v>
      </c>
      <c r="P85" s="19" t="s">
        <v>56</v>
      </c>
    </row>
    <row r="86" spans="5:16" ht="56.25" x14ac:dyDescent="0.25">
      <c r="E86" s="2" t="s">
        <v>8</v>
      </c>
      <c r="F86" s="3" t="s">
        <v>216</v>
      </c>
      <c r="G86" s="4" t="s">
        <v>13</v>
      </c>
      <c r="H86" s="5" t="s">
        <v>14</v>
      </c>
      <c r="I86" s="11" t="s">
        <v>37</v>
      </c>
      <c r="J86" s="8" t="s">
        <v>5</v>
      </c>
      <c r="K86" s="9">
        <v>380.15</v>
      </c>
      <c r="L86" s="10">
        <v>41.79</v>
      </c>
      <c r="M86" s="12">
        <f t="shared" si="13"/>
        <v>53.010614999999994</v>
      </c>
      <c r="N86" s="14">
        <f t="shared" ref="N86:N89" si="15">M86*K86</f>
        <v>20151.985292249996</v>
      </c>
      <c r="O86" s="13" t="s">
        <v>48</v>
      </c>
      <c r="P86" s="19" t="s">
        <v>56</v>
      </c>
    </row>
    <row r="87" spans="5:16" x14ac:dyDescent="0.25">
      <c r="E87" s="2" t="s">
        <v>8</v>
      </c>
      <c r="F87" s="3" t="s">
        <v>217</v>
      </c>
      <c r="G87" s="4" t="s">
        <v>10</v>
      </c>
      <c r="H87" s="5" t="s">
        <v>16</v>
      </c>
      <c r="I87" s="11" t="s">
        <v>38</v>
      </c>
      <c r="J87" s="8" t="s">
        <v>36</v>
      </c>
      <c r="K87" s="9">
        <v>1544.33</v>
      </c>
      <c r="L87" s="10">
        <v>20.37</v>
      </c>
      <c r="M87" s="12">
        <f t="shared" si="13"/>
        <v>25.839345000000002</v>
      </c>
      <c r="N87" s="14">
        <f t="shared" si="15"/>
        <v>39904.475663850004</v>
      </c>
      <c r="O87" s="13" t="s">
        <v>48</v>
      </c>
      <c r="P87" s="19" t="s">
        <v>56</v>
      </c>
    </row>
    <row r="88" spans="5:16" ht="33.75" x14ac:dyDescent="0.25">
      <c r="E88" s="2" t="s">
        <v>8</v>
      </c>
      <c r="F88" s="3" t="s">
        <v>218</v>
      </c>
      <c r="G88" s="4" t="s">
        <v>13</v>
      </c>
      <c r="H88" s="7" t="s">
        <v>18</v>
      </c>
      <c r="I88" s="11" t="s">
        <v>39</v>
      </c>
      <c r="J88" s="8" t="s">
        <v>40</v>
      </c>
      <c r="K88" s="9">
        <f>K87*0.15*3</f>
        <v>694.94849999999997</v>
      </c>
      <c r="L88" s="10">
        <v>2.27</v>
      </c>
      <c r="M88" s="12">
        <f t="shared" si="13"/>
        <v>2.8794949999999999</v>
      </c>
      <c r="N88" s="14">
        <f t="shared" si="15"/>
        <v>2001.1007310074999</v>
      </c>
      <c r="O88" s="13" t="s">
        <v>48</v>
      </c>
      <c r="P88" s="19" t="s">
        <v>56</v>
      </c>
    </row>
    <row r="89" spans="5:16" x14ac:dyDescent="0.25">
      <c r="E89" s="2" t="s">
        <v>8</v>
      </c>
      <c r="F89" s="3" t="s">
        <v>219</v>
      </c>
      <c r="G89" s="4" t="s">
        <v>10</v>
      </c>
      <c r="H89" s="5" t="s">
        <v>20</v>
      </c>
      <c r="I89" s="11" t="s">
        <v>41</v>
      </c>
      <c r="J89" s="8" t="s">
        <v>36</v>
      </c>
      <c r="K89" s="9">
        <v>1544.33</v>
      </c>
      <c r="L89" s="10">
        <v>0.91</v>
      </c>
      <c r="M89" s="12">
        <f t="shared" si="13"/>
        <v>1.1543350000000001</v>
      </c>
      <c r="N89" s="14">
        <f t="shared" si="15"/>
        <v>1782.6741705500001</v>
      </c>
      <c r="O89" s="13" t="s">
        <v>48</v>
      </c>
      <c r="P89" s="19" t="s">
        <v>56</v>
      </c>
    </row>
    <row r="90" spans="5:16" x14ac:dyDescent="0.25">
      <c r="E90" s="2" t="s">
        <v>6</v>
      </c>
      <c r="F90" s="54" t="s">
        <v>198</v>
      </c>
      <c r="G90" s="55"/>
      <c r="H90" s="59"/>
      <c r="I90" s="60" t="s">
        <v>138</v>
      </c>
      <c r="J90" s="49" t="s">
        <v>33</v>
      </c>
      <c r="K90" s="50">
        <v>0</v>
      </c>
      <c r="L90" s="57"/>
      <c r="M90" s="52">
        <v>0</v>
      </c>
      <c r="N90" s="58">
        <f>SUM(N91:N95)</f>
        <v>73574.014983932502</v>
      </c>
      <c r="O90" s="13" t="s">
        <v>48</v>
      </c>
      <c r="P90" s="19" t="s">
        <v>56</v>
      </c>
    </row>
    <row r="91" spans="5:16" x14ac:dyDescent="0.25">
      <c r="E91" s="2" t="s">
        <v>8</v>
      </c>
      <c r="F91" s="3" t="s">
        <v>220</v>
      </c>
      <c r="G91" s="4" t="s">
        <v>10</v>
      </c>
      <c r="H91" s="5" t="s">
        <v>11</v>
      </c>
      <c r="I91" s="11" t="s">
        <v>35</v>
      </c>
      <c r="J91" s="8" t="s">
        <v>36</v>
      </c>
      <c r="K91" s="9">
        <v>1736.83</v>
      </c>
      <c r="L91" s="10">
        <v>1.98</v>
      </c>
      <c r="M91" s="12">
        <f t="shared" ref="M91:M95" si="16">L91*1.2685</f>
        <v>2.5116299999999998</v>
      </c>
      <c r="N91" s="14">
        <f>M91*K91</f>
        <v>4362.2743328999995</v>
      </c>
      <c r="O91" s="13" t="s">
        <v>48</v>
      </c>
      <c r="P91" s="19" t="s">
        <v>56</v>
      </c>
    </row>
    <row r="92" spans="5:16" ht="56.25" x14ac:dyDescent="0.25">
      <c r="E92" s="2" t="s">
        <v>8</v>
      </c>
      <c r="F92" s="3" t="s">
        <v>221</v>
      </c>
      <c r="G92" s="4" t="s">
        <v>13</v>
      </c>
      <c r="H92" s="5" t="s">
        <v>14</v>
      </c>
      <c r="I92" s="11" t="s">
        <v>37</v>
      </c>
      <c r="J92" s="8" t="s">
        <v>5</v>
      </c>
      <c r="K92" s="9">
        <v>378.75</v>
      </c>
      <c r="L92" s="10">
        <v>41.79</v>
      </c>
      <c r="M92" s="12">
        <f t="shared" si="16"/>
        <v>53.010614999999994</v>
      </c>
      <c r="N92" s="14">
        <f t="shared" ref="N92:N95" si="17">M92*K92</f>
        <v>20077.770431249999</v>
      </c>
      <c r="O92" s="13" t="s">
        <v>48</v>
      </c>
      <c r="P92" s="19" t="s">
        <v>56</v>
      </c>
    </row>
    <row r="93" spans="5:16" x14ac:dyDescent="0.25">
      <c r="E93" s="2" t="s">
        <v>8</v>
      </c>
      <c r="F93" s="3" t="s">
        <v>222</v>
      </c>
      <c r="G93" s="4" t="s">
        <v>10</v>
      </c>
      <c r="H93" s="5" t="s">
        <v>16</v>
      </c>
      <c r="I93" s="11" t="s">
        <v>38</v>
      </c>
      <c r="J93" s="8" t="s">
        <v>36</v>
      </c>
      <c r="K93" s="9">
        <v>1736.83</v>
      </c>
      <c r="L93" s="10">
        <v>20.37</v>
      </c>
      <c r="M93" s="12">
        <f t="shared" si="16"/>
        <v>25.839345000000002</v>
      </c>
      <c r="N93" s="14">
        <f t="shared" si="17"/>
        <v>44878.54957635</v>
      </c>
      <c r="O93" s="13" t="s">
        <v>48</v>
      </c>
      <c r="P93" s="19" t="s">
        <v>56</v>
      </c>
    </row>
    <row r="94" spans="5:16" ht="33.75" x14ac:dyDescent="0.25">
      <c r="E94" s="2" t="s">
        <v>8</v>
      </c>
      <c r="F94" s="3" t="s">
        <v>223</v>
      </c>
      <c r="G94" s="4" t="s">
        <v>13</v>
      </c>
      <c r="H94" s="7" t="s">
        <v>18</v>
      </c>
      <c r="I94" s="11" t="s">
        <v>39</v>
      </c>
      <c r="J94" s="8" t="s">
        <v>40</v>
      </c>
      <c r="K94" s="9">
        <f>K93*0.15*3</f>
        <v>781.57349999999997</v>
      </c>
      <c r="L94" s="10">
        <v>2.27</v>
      </c>
      <c r="M94" s="12">
        <f t="shared" si="16"/>
        <v>2.8794949999999999</v>
      </c>
      <c r="N94" s="14">
        <f t="shared" si="17"/>
        <v>2250.5369853825</v>
      </c>
      <c r="O94" s="13" t="s">
        <v>48</v>
      </c>
      <c r="P94" s="19" t="s">
        <v>56</v>
      </c>
    </row>
    <row r="95" spans="5:16" x14ac:dyDescent="0.25">
      <c r="E95" s="2" t="s">
        <v>8</v>
      </c>
      <c r="F95" s="3" t="s">
        <v>224</v>
      </c>
      <c r="G95" s="4" t="s">
        <v>10</v>
      </c>
      <c r="H95" s="5" t="s">
        <v>20</v>
      </c>
      <c r="I95" s="11" t="s">
        <v>41</v>
      </c>
      <c r="J95" s="8" t="s">
        <v>36</v>
      </c>
      <c r="K95" s="9">
        <v>1736.83</v>
      </c>
      <c r="L95" s="10">
        <v>0.91</v>
      </c>
      <c r="M95" s="12">
        <f t="shared" si="16"/>
        <v>1.1543350000000001</v>
      </c>
      <c r="N95" s="14">
        <f t="shared" si="17"/>
        <v>2004.8836580500001</v>
      </c>
      <c r="O95" s="13" t="s">
        <v>48</v>
      </c>
      <c r="P95" s="19" t="s">
        <v>56</v>
      </c>
    </row>
    <row r="96" spans="5:16" x14ac:dyDescent="0.25">
      <c r="E96" s="2" t="s">
        <v>6</v>
      </c>
      <c r="F96" s="54" t="s">
        <v>199</v>
      </c>
      <c r="G96" s="55"/>
      <c r="H96" s="59"/>
      <c r="I96" s="60" t="s">
        <v>139</v>
      </c>
      <c r="J96" s="49" t="s">
        <v>33</v>
      </c>
      <c r="K96" s="50">
        <v>0</v>
      </c>
      <c r="L96" s="57"/>
      <c r="M96" s="52">
        <v>0</v>
      </c>
      <c r="N96" s="58">
        <f>SUM(N97:N101)</f>
        <v>77809.073792215</v>
      </c>
      <c r="O96" s="13" t="s">
        <v>48</v>
      </c>
      <c r="P96" s="19" t="s">
        <v>56</v>
      </c>
    </row>
    <row r="97" spans="5:16" x14ac:dyDescent="0.25">
      <c r="E97" s="2" t="s">
        <v>8</v>
      </c>
      <c r="F97" s="3" t="s">
        <v>225</v>
      </c>
      <c r="G97" s="4" t="s">
        <v>10</v>
      </c>
      <c r="H97" s="5" t="s">
        <v>11</v>
      </c>
      <c r="I97" s="11" t="s">
        <v>35</v>
      </c>
      <c r="J97" s="8" t="s">
        <v>36</v>
      </c>
      <c r="K97" s="9">
        <v>1879.06</v>
      </c>
      <c r="L97" s="10">
        <v>1.98</v>
      </c>
      <c r="M97" s="12">
        <f t="shared" ref="M97:M101" si="18">L97*1.2685</f>
        <v>2.5116299999999998</v>
      </c>
      <c r="N97" s="14">
        <f t="shared" ref="N97" si="19">M97*K97</f>
        <v>4719.5034677999993</v>
      </c>
      <c r="O97" s="13" t="s">
        <v>48</v>
      </c>
      <c r="P97" s="19" t="s">
        <v>56</v>
      </c>
    </row>
    <row r="98" spans="5:16" ht="56.25" x14ac:dyDescent="0.25">
      <c r="E98" s="2" t="s">
        <v>8</v>
      </c>
      <c r="F98" s="3" t="s">
        <v>226</v>
      </c>
      <c r="G98" s="4" t="s">
        <v>13</v>
      </c>
      <c r="H98" s="5" t="s">
        <v>14</v>
      </c>
      <c r="I98" s="11" t="s">
        <v>37</v>
      </c>
      <c r="J98" s="8" t="s">
        <v>5</v>
      </c>
      <c r="K98" s="9">
        <v>376</v>
      </c>
      <c r="L98" s="10">
        <v>41.79</v>
      </c>
      <c r="M98" s="12">
        <f t="shared" si="18"/>
        <v>53.010614999999994</v>
      </c>
      <c r="N98" s="14">
        <f t="shared" ref="N98:N101" si="20">M98*K98</f>
        <v>19931.991239999999</v>
      </c>
      <c r="O98" s="13" t="s">
        <v>48</v>
      </c>
      <c r="P98" s="19" t="s">
        <v>56</v>
      </c>
    </row>
    <row r="99" spans="5:16" x14ac:dyDescent="0.25">
      <c r="E99" s="2" t="s">
        <v>8</v>
      </c>
      <c r="F99" s="3" t="s">
        <v>227</v>
      </c>
      <c r="G99" s="4" t="s">
        <v>10</v>
      </c>
      <c r="H99" s="5" t="s">
        <v>16</v>
      </c>
      <c r="I99" s="11" t="s">
        <v>38</v>
      </c>
      <c r="J99" s="8" t="s">
        <v>36</v>
      </c>
      <c r="K99" s="9">
        <v>1879.06</v>
      </c>
      <c r="L99" s="10">
        <v>20.37</v>
      </c>
      <c r="M99" s="12">
        <f t="shared" si="18"/>
        <v>25.839345000000002</v>
      </c>
      <c r="N99" s="14">
        <f t="shared" si="20"/>
        <v>48553.679615699999</v>
      </c>
      <c r="O99" s="13" t="s">
        <v>48</v>
      </c>
      <c r="P99" s="19" t="s">
        <v>56</v>
      </c>
    </row>
    <row r="100" spans="5:16" ht="33.75" x14ac:dyDescent="0.25">
      <c r="E100" s="2" t="s">
        <v>8</v>
      </c>
      <c r="F100" s="3" t="s">
        <v>228</v>
      </c>
      <c r="G100" s="4" t="s">
        <v>13</v>
      </c>
      <c r="H100" s="7" t="s">
        <v>18</v>
      </c>
      <c r="I100" s="11" t="s">
        <v>39</v>
      </c>
      <c r="J100" s="8" t="s">
        <v>40</v>
      </c>
      <c r="K100" s="9">
        <f>K97*0.15*3</f>
        <v>845.577</v>
      </c>
      <c r="L100" s="10">
        <v>2.27</v>
      </c>
      <c r="M100" s="12">
        <f t="shared" si="18"/>
        <v>2.8794949999999999</v>
      </c>
      <c r="N100" s="14">
        <f t="shared" si="20"/>
        <v>2434.8347436149998</v>
      </c>
      <c r="O100" s="13" t="s">
        <v>48</v>
      </c>
      <c r="P100" s="19" t="s">
        <v>56</v>
      </c>
    </row>
    <row r="101" spans="5:16" x14ac:dyDescent="0.25">
      <c r="E101" s="2" t="s">
        <v>8</v>
      </c>
      <c r="F101" s="3" t="s">
        <v>229</v>
      </c>
      <c r="G101" s="4" t="s">
        <v>10</v>
      </c>
      <c r="H101" s="5" t="s">
        <v>20</v>
      </c>
      <c r="I101" s="11" t="s">
        <v>41</v>
      </c>
      <c r="J101" s="8" t="s">
        <v>36</v>
      </c>
      <c r="K101" s="9">
        <v>1879.06</v>
      </c>
      <c r="L101" s="10">
        <v>0.91</v>
      </c>
      <c r="M101" s="12">
        <f t="shared" si="18"/>
        <v>1.1543350000000001</v>
      </c>
      <c r="N101" s="14">
        <f t="shared" si="20"/>
        <v>2169.0647251</v>
      </c>
      <c r="O101" s="13" t="s">
        <v>48</v>
      </c>
      <c r="P101" s="19" t="s">
        <v>56</v>
      </c>
    </row>
    <row r="102" spans="5:16" x14ac:dyDescent="0.25">
      <c r="E102" s="1" t="s">
        <v>5</v>
      </c>
      <c r="F102" s="45">
        <v>2</v>
      </c>
      <c r="G102" s="46"/>
      <c r="H102" s="47"/>
      <c r="I102" s="48" t="s">
        <v>189</v>
      </c>
      <c r="J102" s="49" t="s">
        <v>33</v>
      </c>
      <c r="K102" s="50">
        <v>0</v>
      </c>
      <c r="L102" s="51"/>
      <c r="M102" s="52">
        <v>0</v>
      </c>
      <c r="N102" s="53">
        <f>SUM(N103+N109+N115+N121+N129+N136+N144)</f>
        <v>220432.03130420001</v>
      </c>
      <c r="O102" s="13" t="s">
        <v>48</v>
      </c>
      <c r="P102" s="19" t="s">
        <v>33</v>
      </c>
    </row>
    <row r="103" spans="5:16" x14ac:dyDescent="0.25">
      <c r="E103" s="2" t="s">
        <v>6</v>
      </c>
      <c r="F103" s="54" t="s">
        <v>164</v>
      </c>
      <c r="G103" s="55"/>
      <c r="H103" s="56"/>
      <c r="I103" s="60" t="s">
        <v>133</v>
      </c>
      <c r="J103" s="49" t="s">
        <v>33</v>
      </c>
      <c r="K103" s="50">
        <v>0</v>
      </c>
      <c r="L103" s="57">
        <v>0</v>
      </c>
      <c r="M103" s="52">
        <v>0</v>
      </c>
      <c r="N103" s="58">
        <f>SUM(N104:N108)</f>
        <v>23326.551531799996</v>
      </c>
      <c r="O103" s="13" t="s">
        <v>48</v>
      </c>
      <c r="P103" s="19" t="s">
        <v>33</v>
      </c>
    </row>
    <row r="104" spans="5:16" ht="57" x14ac:dyDescent="0.25">
      <c r="E104" s="2"/>
      <c r="F104" s="3" t="s">
        <v>165</v>
      </c>
      <c r="G104" s="4" t="s">
        <v>13</v>
      </c>
      <c r="H104" s="5" t="s">
        <v>149</v>
      </c>
      <c r="I104" s="110" t="s">
        <v>150</v>
      </c>
      <c r="J104" s="8" t="s">
        <v>148</v>
      </c>
      <c r="K104" s="9">
        <f>85*1.2*0.8</f>
        <v>81.600000000000009</v>
      </c>
      <c r="L104" s="10">
        <v>10.199999999999999</v>
      </c>
      <c r="M104" s="12">
        <f>L104*1.2685</f>
        <v>12.938699999999999</v>
      </c>
      <c r="N104" s="14">
        <f>M104*K104</f>
        <v>1055.79792</v>
      </c>
      <c r="O104" s="13" t="s">
        <v>48</v>
      </c>
      <c r="P104" s="19" t="s">
        <v>56</v>
      </c>
    </row>
    <row r="105" spans="5:16" ht="45.75" x14ac:dyDescent="0.25">
      <c r="E105" s="2"/>
      <c r="F105" s="3" t="s">
        <v>166</v>
      </c>
      <c r="G105" s="4" t="s">
        <v>13</v>
      </c>
      <c r="H105" s="5" t="s">
        <v>153</v>
      </c>
      <c r="I105" s="110" t="s">
        <v>154</v>
      </c>
      <c r="J105" s="8" t="s">
        <v>5</v>
      </c>
      <c r="K105" s="9">
        <v>87</v>
      </c>
      <c r="L105" s="10">
        <v>121.78</v>
      </c>
      <c r="M105" s="12">
        <f>L105*1.2685</f>
        <v>154.47792999999999</v>
      </c>
      <c r="N105" s="14">
        <f t="shared" ref="N105:N107" si="21">M105*K105</f>
        <v>13439.579909999999</v>
      </c>
      <c r="O105" s="13" t="s">
        <v>48</v>
      </c>
      <c r="P105" s="19" t="s">
        <v>56</v>
      </c>
    </row>
    <row r="106" spans="5:16" ht="34.5" x14ac:dyDescent="0.25">
      <c r="E106" s="2"/>
      <c r="F106" s="3" t="s">
        <v>230</v>
      </c>
      <c r="G106" s="4" t="s">
        <v>13</v>
      </c>
      <c r="H106" s="5" t="s">
        <v>245</v>
      </c>
      <c r="I106" s="110" t="s">
        <v>244</v>
      </c>
      <c r="J106" s="8" t="s">
        <v>5</v>
      </c>
      <c r="K106" s="9">
        <v>87</v>
      </c>
      <c r="L106" s="10">
        <v>54.04</v>
      </c>
      <c r="M106" s="12">
        <f>L106*1.2685</f>
        <v>68.54974</v>
      </c>
      <c r="N106" s="14">
        <f t="shared" si="21"/>
        <v>5963.8273799999997</v>
      </c>
      <c r="O106" s="13"/>
      <c r="P106" s="19"/>
    </row>
    <row r="107" spans="5:16" ht="57" x14ac:dyDescent="0.25">
      <c r="E107" s="2"/>
      <c r="F107" s="3" t="s">
        <v>231</v>
      </c>
      <c r="G107" s="4" t="s">
        <v>13</v>
      </c>
      <c r="H107" s="5" t="s">
        <v>155</v>
      </c>
      <c r="I107" s="110" t="s">
        <v>156</v>
      </c>
      <c r="J107" s="8" t="s">
        <v>148</v>
      </c>
      <c r="K107" s="9">
        <v>81.61</v>
      </c>
      <c r="L107" s="10">
        <v>23.48</v>
      </c>
      <c r="M107" s="12">
        <f>L107*1.2685</f>
        <v>29.784379999999999</v>
      </c>
      <c r="N107" s="14">
        <f t="shared" si="21"/>
        <v>2430.7032518000001</v>
      </c>
      <c r="O107" s="13" t="s">
        <v>48</v>
      </c>
      <c r="P107" s="19" t="s">
        <v>56</v>
      </c>
    </row>
    <row r="108" spans="5:16" ht="23.25" x14ac:dyDescent="0.25">
      <c r="E108" s="2"/>
      <c r="F108" s="3" t="s">
        <v>256</v>
      </c>
      <c r="G108" s="4"/>
      <c r="H108" s="5" t="s">
        <v>157</v>
      </c>
      <c r="I108" s="110" t="s">
        <v>158</v>
      </c>
      <c r="J108" s="8" t="s">
        <v>28</v>
      </c>
      <c r="K108" s="9">
        <v>2</v>
      </c>
      <c r="L108" s="10">
        <v>172.11</v>
      </c>
      <c r="M108" s="12">
        <f>L108*1.2685</f>
        <v>218.32153500000001</v>
      </c>
      <c r="N108" s="14">
        <f>M108*K108</f>
        <v>436.64307000000002</v>
      </c>
      <c r="O108" s="13" t="s">
        <v>48</v>
      </c>
      <c r="P108" s="19" t="s">
        <v>56</v>
      </c>
    </row>
    <row r="109" spans="5:16" x14ac:dyDescent="0.25">
      <c r="E109" s="2" t="s">
        <v>6</v>
      </c>
      <c r="F109" s="54" t="s">
        <v>167</v>
      </c>
      <c r="G109" s="55"/>
      <c r="H109" s="56"/>
      <c r="I109" s="60" t="s">
        <v>134</v>
      </c>
      <c r="J109" s="49" t="s">
        <v>33</v>
      </c>
      <c r="K109" s="50">
        <v>0</v>
      </c>
      <c r="L109" s="57">
        <v>0</v>
      </c>
      <c r="M109" s="52">
        <v>0</v>
      </c>
      <c r="N109" s="58">
        <f>SUM(N110:N114)</f>
        <v>3869.1868183999995</v>
      </c>
      <c r="O109" s="13" t="s">
        <v>48</v>
      </c>
      <c r="P109" s="19" t="s">
        <v>33</v>
      </c>
    </row>
    <row r="110" spans="5:16" ht="57" x14ac:dyDescent="0.25">
      <c r="E110" s="2"/>
      <c r="F110" s="3" t="s">
        <v>168</v>
      </c>
      <c r="G110" s="4" t="s">
        <v>13</v>
      </c>
      <c r="H110" s="5" t="s">
        <v>149</v>
      </c>
      <c r="I110" s="110" t="s">
        <v>150</v>
      </c>
      <c r="J110" s="8" t="s">
        <v>148</v>
      </c>
      <c r="K110" s="9">
        <f>13*0.8*1.2</f>
        <v>12.48</v>
      </c>
      <c r="L110" s="10">
        <v>10.199999999999999</v>
      </c>
      <c r="M110" s="12">
        <f>L110*1.2685</f>
        <v>12.938699999999999</v>
      </c>
      <c r="N110" s="14">
        <f>M110*K110</f>
        <v>161.474976</v>
      </c>
      <c r="O110" s="13" t="s">
        <v>48</v>
      </c>
      <c r="P110" s="19" t="s">
        <v>56</v>
      </c>
    </row>
    <row r="111" spans="5:16" ht="23.25" x14ac:dyDescent="0.25">
      <c r="E111" s="2"/>
      <c r="F111" s="3" t="s">
        <v>169</v>
      </c>
      <c r="G111" s="4" t="s">
        <v>82</v>
      </c>
      <c r="H111" s="5" t="s">
        <v>157</v>
      </c>
      <c r="I111" s="110" t="s">
        <v>158</v>
      </c>
      <c r="J111" s="8" t="s">
        <v>28</v>
      </c>
      <c r="K111" s="9">
        <v>2</v>
      </c>
      <c r="L111" s="10">
        <v>172.11</v>
      </c>
      <c r="M111" s="12">
        <f t="shared" ref="M111:M113" si="22">L111*1.2685</f>
        <v>218.32153500000001</v>
      </c>
      <c r="N111" s="14">
        <f>M111*K111</f>
        <v>436.64307000000002</v>
      </c>
      <c r="O111" s="13" t="s">
        <v>48</v>
      </c>
      <c r="P111" s="19" t="s">
        <v>56</v>
      </c>
    </row>
    <row r="112" spans="5:16" ht="45.75" x14ac:dyDescent="0.25">
      <c r="E112" s="2"/>
      <c r="F112" s="3" t="s">
        <v>170</v>
      </c>
      <c r="G112" s="4" t="s">
        <v>13</v>
      </c>
      <c r="H112" s="5" t="s">
        <v>153</v>
      </c>
      <c r="I112" s="110" t="s">
        <v>154</v>
      </c>
      <c r="J112" s="8" t="s">
        <v>5</v>
      </c>
      <c r="K112" s="9">
        <v>13</v>
      </c>
      <c r="L112" s="10">
        <v>121.78</v>
      </c>
      <c r="M112" s="12">
        <f t="shared" si="22"/>
        <v>154.47792999999999</v>
      </c>
      <c r="N112" s="14">
        <f>M112*K112</f>
        <v>2008.2130899999997</v>
      </c>
      <c r="O112" s="13" t="s">
        <v>48</v>
      </c>
      <c r="P112" s="19"/>
    </row>
    <row r="113" spans="5:16" ht="34.5" x14ac:dyDescent="0.25">
      <c r="E113" s="2"/>
      <c r="F113" s="3" t="s">
        <v>171</v>
      </c>
      <c r="G113" s="4" t="s">
        <v>13</v>
      </c>
      <c r="H113" s="5" t="s">
        <v>245</v>
      </c>
      <c r="I113" s="110" t="s">
        <v>244</v>
      </c>
      <c r="J113" s="8" t="s">
        <v>5</v>
      </c>
      <c r="K113" s="9">
        <v>13</v>
      </c>
      <c r="L113" s="10">
        <v>54.04</v>
      </c>
      <c r="M113" s="12">
        <f t="shared" si="22"/>
        <v>68.54974</v>
      </c>
      <c r="N113" s="14">
        <f>M113*K113</f>
        <v>891.14661999999998</v>
      </c>
      <c r="O113" s="13"/>
      <c r="P113" s="19"/>
    </row>
    <row r="114" spans="5:16" ht="57" x14ac:dyDescent="0.25">
      <c r="E114" s="2"/>
      <c r="F114" s="3" t="s">
        <v>255</v>
      </c>
      <c r="G114" s="4" t="s">
        <v>13</v>
      </c>
      <c r="H114" s="5" t="s">
        <v>155</v>
      </c>
      <c r="I114" s="110" t="s">
        <v>156</v>
      </c>
      <c r="J114" s="8" t="s">
        <v>148</v>
      </c>
      <c r="K114" s="9">
        <v>12.48</v>
      </c>
      <c r="L114" s="10">
        <v>23.48</v>
      </c>
      <c r="M114" s="12">
        <f>L114*1.2685</f>
        <v>29.784379999999999</v>
      </c>
      <c r="N114" s="14">
        <f t="shared" ref="N114" si="23">M114*K114</f>
        <v>371.70906239999999</v>
      </c>
      <c r="O114" s="13" t="s">
        <v>48</v>
      </c>
      <c r="P114" s="19" t="s">
        <v>56</v>
      </c>
    </row>
    <row r="115" spans="5:16" x14ac:dyDescent="0.25">
      <c r="E115" s="2" t="s">
        <v>6</v>
      </c>
      <c r="F115" s="54" t="s">
        <v>172</v>
      </c>
      <c r="G115" s="55"/>
      <c r="H115" s="56"/>
      <c r="I115" s="60" t="s">
        <v>135</v>
      </c>
      <c r="J115" s="49" t="s">
        <v>33</v>
      </c>
      <c r="K115" s="50">
        <v>0</v>
      </c>
      <c r="L115" s="57">
        <v>0</v>
      </c>
      <c r="M115" s="52">
        <v>0</v>
      </c>
      <c r="N115" s="58">
        <f>SUM(N116:N120)</f>
        <v>3869.1868183999995</v>
      </c>
      <c r="O115" s="13" t="s">
        <v>48</v>
      </c>
      <c r="P115" s="19" t="s">
        <v>33</v>
      </c>
    </row>
    <row r="116" spans="5:16" ht="57" x14ac:dyDescent="0.25">
      <c r="E116" s="2"/>
      <c r="F116" s="3" t="s">
        <v>173</v>
      </c>
      <c r="G116" s="4" t="s">
        <v>13</v>
      </c>
      <c r="H116" s="5" t="s">
        <v>149</v>
      </c>
      <c r="I116" s="110" t="s">
        <v>150</v>
      </c>
      <c r="J116" s="8" t="s">
        <v>148</v>
      </c>
      <c r="K116" s="9">
        <f>13*1.2*0.8</f>
        <v>12.48</v>
      </c>
      <c r="L116" s="10">
        <v>10.199999999999999</v>
      </c>
      <c r="M116" s="12">
        <f>L116*1.2685</f>
        <v>12.938699999999999</v>
      </c>
      <c r="N116" s="14">
        <f>M116*K116</f>
        <v>161.474976</v>
      </c>
      <c r="O116" s="13" t="s">
        <v>48</v>
      </c>
      <c r="P116" s="19" t="s">
        <v>56</v>
      </c>
    </row>
    <row r="117" spans="5:16" ht="23.25" x14ac:dyDescent="0.25">
      <c r="E117" s="2"/>
      <c r="F117" s="3" t="s">
        <v>174</v>
      </c>
      <c r="G117" s="4" t="s">
        <v>82</v>
      </c>
      <c r="H117" s="5" t="s">
        <v>157</v>
      </c>
      <c r="I117" s="110" t="s">
        <v>158</v>
      </c>
      <c r="J117" s="8" t="s">
        <v>28</v>
      </c>
      <c r="K117" s="9">
        <v>2</v>
      </c>
      <c r="L117" s="10">
        <v>172.11</v>
      </c>
      <c r="M117" s="12">
        <f t="shared" ref="M117:M119" si="24">L117*1.2685</f>
        <v>218.32153500000001</v>
      </c>
      <c r="N117" s="14">
        <f t="shared" ref="N117:N119" si="25">M117*K117</f>
        <v>436.64307000000002</v>
      </c>
      <c r="O117" s="13" t="s">
        <v>48</v>
      </c>
      <c r="P117" s="19" t="s">
        <v>56</v>
      </c>
    </row>
    <row r="118" spans="5:16" ht="45.75" x14ac:dyDescent="0.25">
      <c r="E118" s="2"/>
      <c r="F118" s="3" t="s">
        <v>175</v>
      </c>
      <c r="G118" s="4" t="s">
        <v>13</v>
      </c>
      <c r="H118" s="5" t="s">
        <v>153</v>
      </c>
      <c r="I118" s="110" t="s">
        <v>154</v>
      </c>
      <c r="J118" s="8" t="s">
        <v>5</v>
      </c>
      <c r="K118" s="9">
        <v>13</v>
      </c>
      <c r="L118" s="10">
        <v>121.78</v>
      </c>
      <c r="M118" s="12">
        <f t="shared" si="24"/>
        <v>154.47792999999999</v>
      </c>
      <c r="N118" s="14">
        <f t="shared" si="25"/>
        <v>2008.2130899999997</v>
      </c>
      <c r="O118" s="13" t="s">
        <v>48</v>
      </c>
      <c r="P118" s="19"/>
    </row>
    <row r="119" spans="5:16" ht="34.5" x14ac:dyDescent="0.25">
      <c r="E119" s="2"/>
      <c r="F119" s="3" t="s">
        <v>176</v>
      </c>
      <c r="G119" s="4"/>
      <c r="H119" s="5" t="s">
        <v>245</v>
      </c>
      <c r="I119" s="110" t="s">
        <v>244</v>
      </c>
      <c r="J119" s="8" t="s">
        <v>5</v>
      </c>
      <c r="K119" s="9">
        <v>13</v>
      </c>
      <c r="L119" s="10">
        <v>54.04</v>
      </c>
      <c r="M119" s="12">
        <f t="shared" si="24"/>
        <v>68.54974</v>
      </c>
      <c r="N119" s="14">
        <f t="shared" si="25"/>
        <v>891.14661999999998</v>
      </c>
      <c r="O119" s="13"/>
      <c r="P119" s="19"/>
    </row>
    <row r="120" spans="5:16" ht="57" x14ac:dyDescent="0.25">
      <c r="E120" s="2"/>
      <c r="F120" s="3" t="s">
        <v>254</v>
      </c>
      <c r="G120" s="4" t="s">
        <v>13</v>
      </c>
      <c r="H120" s="5" t="s">
        <v>155</v>
      </c>
      <c r="I120" s="110" t="s">
        <v>156</v>
      </c>
      <c r="J120" s="8" t="s">
        <v>148</v>
      </c>
      <c r="K120" s="9">
        <v>12.48</v>
      </c>
      <c r="L120" s="10">
        <v>23.48</v>
      </c>
      <c r="M120" s="12">
        <f>L120*1.2685</f>
        <v>29.784379999999999</v>
      </c>
      <c r="N120" s="14">
        <f>M120*K120</f>
        <v>371.70906239999999</v>
      </c>
      <c r="O120" s="13" t="s">
        <v>48</v>
      </c>
      <c r="P120" s="19" t="s">
        <v>56</v>
      </c>
    </row>
    <row r="121" spans="5:16" x14ac:dyDescent="0.25">
      <c r="E121" s="2" t="s">
        <v>6</v>
      </c>
      <c r="F121" s="54" t="s">
        <v>177</v>
      </c>
      <c r="G121" s="55"/>
      <c r="H121" s="59"/>
      <c r="I121" s="60" t="s">
        <v>136</v>
      </c>
      <c r="J121" s="49" t="s">
        <v>33</v>
      </c>
      <c r="K121" s="50">
        <v>0</v>
      </c>
      <c r="L121" s="57"/>
      <c r="M121" s="52">
        <v>0</v>
      </c>
      <c r="N121" s="58">
        <f>SUM(N122:N128)</f>
        <v>45380.820904</v>
      </c>
      <c r="O121" s="13" t="s">
        <v>48</v>
      </c>
      <c r="P121" s="19" t="s">
        <v>56</v>
      </c>
    </row>
    <row r="122" spans="5:16" ht="57" x14ac:dyDescent="0.25">
      <c r="E122" s="2"/>
      <c r="F122" s="3" t="s">
        <v>178</v>
      </c>
      <c r="G122" s="4" t="s">
        <v>13</v>
      </c>
      <c r="H122" s="5" t="s">
        <v>149</v>
      </c>
      <c r="I122" s="110" t="s">
        <v>150</v>
      </c>
      <c r="J122" s="8" t="s">
        <v>148</v>
      </c>
      <c r="K122" s="9">
        <f>105*1.2*0.8</f>
        <v>100.80000000000001</v>
      </c>
      <c r="L122" s="10">
        <v>10.199999999999999</v>
      </c>
      <c r="M122" s="12">
        <f>L122*1.2685</f>
        <v>12.938699999999999</v>
      </c>
      <c r="N122" s="14">
        <f>M122*K122</f>
        <v>1304.2209600000001</v>
      </c>
      <c r="O122" s="13" t="s">
        <v>48</v>
      </c>
      <c r="P122" s="19" t="s">
        <v>56</v>
      </c>
    </row>
    <row r="123" spans="5:16" ht="45.75" x14ac:dyDescent="0.25">
      <c r="E123" s="2"/>
      <c r="F123" s="3" t="s">
        <v>179</v>
      </c>
      <c r="G123" s="4" t="s">
        <v>13</v>
      </c>
      <c r="H123" s="5" t="s">
        <v>151</v>
      </c>
      <c r="I123" s="110" t="s">
        <v>152</v>
      </c>
      <c r="J123" s="8" t="s">
        <v>5</v>
      </c>
      <c r="K123" s="9">
        <v>98</v>
      </c>
      <c r="L123" s="10">
        <v>210.8</v>
      </c>
      <c r="M123" s="12">
        <f t="shared" ref="M123:M135" si="26">L123*1.2685</f>
        <v>267.39980000000003</v>
      </c>
      <c r="N123" s="14">
        <f t="shared" ref="N123:N128" si="27">M123*K123</f>
        <v>26205.180400000001</v>
      </c>
      <c r="O123" s="13" t="s">
        <v>48</v>
      </c>
      <c r="P123" s="19" t="s">
        <v>56</v>
      </c>
    </row>
    <row r="124" spans="5:16" ht="45.75" x14ac:dyDescent="0.25">
      <c r="E124" s="2"/>
      <c r="F124" s="3" t="s">
        <v>180</v>
      </c>
      <c r="G124" s="4" t="s">
        <v>13</v>
      </c>
      <c r="H124" s="5" t="s">
        <v>153</v>
      </c>
      <c r="I124" s="110" t="s">
        <v>154</v>
      </c>
      <c r="J124" s="8" t="s">
        <v>5</v>
      </c>
      <c r="K124" s="9">
        <v>21</v>
      </c>
      <c r="L124" s="10">
        <v>121.78</v>
      </c>
      <c r="M124" s="12">
        <f t="shared" si="26"/>
        <v>154.47792999999999</v>
      </c>
      <c r="N124" s="14">
        <f t="shared" si="27"/>
        <v>3244.0365299999999</v>
      </c>
      <c r="O124" s="13" t="s">
        <v>48</v>
      </c>
      <c r="P124" s="19" t="s">
        <v>56</v>
      </c>
    </row>
    <row r="125" spans="5:16" ht="34.5" x14ac:dyDescent="0.25">
      <c r="E125" s="2"/>
      <c r="F125" s="3" t="s">
        <v>181</v>
      </c>
      <c r="G125" s="4" t="s">
        <v>13</v>
      </c>
      <c r="H125" s="5" t="s">
        <v>245</v>
      </c>
      <c r="I125" s="110" t="s">
        <v>244</v>
      </c>
      <c r="J125" s="8" t="s">
        <v>5</v>
      </c>
      <c r="K125" s="9">
        <v>21</v>
      </c>
      <c r="L125" s="10">
        <v>54.04</v>
      </c>
      <c r="M125" s="12">
        <f t="shared" si="26"/>
        <v>68.54974</v>
      </c>
      <c r="N125" s="14">
        <f t="shared" si="27"/>
        <v>1439.5445400000001</v>
      </c>
      <c r="O125" s="13"/>
      <c r="P125" s="19"/>
    </row>
    <row r="126" spans="5:16" ht="34.5" x14ac:dyDescent="0.25">
      <c r="E126" s="2"/>
      <c r="F126" s="3" t="s">
        <v>182</v>
      </c>
      <c r="G126" s="4" t="s">
        <v>13</v>
      </c>
      <c r="H126" s="5" t="s">
        <v>247</v>
      </c>
      <c r="I126" s="110" t="s">
        <v>246</v>
      </c>
      <c r="J126" s="8" t="s">
        <v>5</v>
      </c>
      <c r="K126" s="9">
        <v>98</v>
      </c>
      <c r="L126" s="10">
        <v>74.91</v>
      </c>
      <c r="M126" s="12">
        <f t="shared" si="26"/>
        <v>95.023334999999989</v>
      </c>
      <c r="N126" s="14">
        <f t="shared" si="27"/>
        <v>9312.2868299999991</v>
      </c>
      <c r="O126" s="13"/>
      <c r="P126" s="19"/>
    </row>
    <row r="127" spans="5:16" ht="57" x14ac:dyDescent="0.25">
      <c r="E127" s="2"/>
      <c r="F127" s="3" t="s">
        <v>248</v>
      </c>
      <c r="G127" s="4" t="s">
        <v>13</v>
      </c>
      <c r="H127" s="5" t="s">
        <v>155</v>
      </c>
      <c r="I127" s="110" t="s">
        <v>156</v>
      </c>
      <c r="J127" s="8" t="s">
        <v>148</v>
      </c>
      <c r="K127" s="9">
        <v>100.8</v>
      </c>
      <c r="L127" s="10">
        <v>23.48</v>
      </c>
      <c r="M127" s="12">
        <f t="shared" si="26"/>
        <v>29.784379999999999</v>
      </c>
      <c r="N127" s="14">
        <f t="shared" si="27"/>
        <v>3002.265504</v>
      </c>
      <c r="O127" s="13" t="s">
        <v>48</v>
      </c>
      <c r="P127" s="19" t="s">
        <v>56</v>
      </c>
    </row>
    <row r="128" spans="5:16" ht="23.25" x14ac:dyDescent="0.25">
      <c r="E128" s="2"/>
      <c r="F128" s="3" t="s">
        <v>249</v>
      </c>
      <c r="G128" s="4" t="s">
        <v>82</v>
      </c>
      <c r="H128" s="5" t="s">
        <v>157</v>
      </c>
      <c r="I128" s="110" t="s">
        <v>158</v>
      </c>
      <c r="J128" s="8" t="s">
        <v>28</v>
      </c>
      <c r="K128" s="9">
        <v>4</v>
      </c>
      <c r="L128" s="10">
        <v>172.11</v>
      </c>
      <c r="M128" s="12">
        <f t="shared" si="26"/>
        <v>218.32153500000001</v>
      </c>
      <c r="N128" s="14">
        <f t="shared" si="27"/>
        <v>873.28614000000005</v>
      </c>
      <c r="O128" s="13" t="s">
        <v>48</v>
      </c>
      <c r="P128" s="19" t="s">
        <v>56</v>
      </c>
    </row>
    <row r="129" spans="5:16" x14ac:dyDescent="0.25">
      <c r="E129" s="2" t="s">
        <v>6</v>
      </c>
      <c r="F129" s="54" t="s">
        <v>183</v>
      </c>
      <c r="G129" s="55"/>
      <c r="H129" s="59"/>
      <c r="I129" s="60" t="s">
        <v>137</v>
      </c>
      <c r="J129" s="49" t="s">
        <v>33</v>
      </c>
      <c r="K129" s="50">
        <v>0</v>
      </c>
      <c r="L129" s="57"/>
      <c r="M129" s="12">
        <f t="shared" si="26"/>
        <v>0</v>
      </c>
      <c r="N129" s="58">
        <f>SUM(N130:N135)</f>
        <v>27950.209676599996</v>
      </c>
      <c r="O129" s="13" t="s">
        <v>48</v>
      </c>
      <c r="P129" s="19" t="s">
        <v>56</v>
      </c>
    </row>
    <row r="130" spans="5:16" ht="57" x14ac:dyDescent="0.25">
      <c r="E130" s="2" t="s">
        <v>8</v>
      </c>
      <c r="F130" s="3" t="s">
        <v>184</v>
      </c>
      <c r="G130" s="4" t="s">
        <v>13</v>
      </c>
      <c r="H130" s="5" t="s">
        <v>149</v>
      </c>
      <c r="I130" s="110" t="s">
        <v>150</v>
      </c>
      <c r="J130" s="8" t="s">
        <v>148</v>
      </c>
      <c r="K130" s="9">
        <f>112*1.2*0.8</f>
        <v>107.52000000000001</v>
      </c>
      <c r="L130" s="10">
        <v>10.199999999999999</v>
      </c>
      <c r="M130" s="12">
        <f t="shared" si="26"/>
        <v>12.938699999999999</v>
      </c>
      <c r="N130" s="14">
        <f>M130*K130</f>
        <v>1391.169024</v>
      </c>
      <c r="O130" s="13" t="s">
        <v>48</v>
      </c>
      <c r="P130" s="19" t="s">
        <v>56</v>
      </c>
    </row>
    <row r="131" spans="5:16" ht="45.75" x14ac:dyDescent="0.25">
      <c r="E131" s="2" t="s">
        <v>8</v>
      </c>
      <c r="F131" s="3" t="s">
        <v>185</v>
      </c>
      <c r="G131" s="4" t="s">
        <v>13</v>
      </c>
      <c r="H131" s="5" t="s">
        <v>153</v>
      </c>
      <c r="I131" s="110" t="s">
        <v>154</v>
      </c>
      <c r="J131" s="8" t="s">
        <v>5</v>
      </c>
      <c r="K131" s="9">
        <v>121</v>
      </c>
      <c r="L131" s="10">
        <v>121.78</v>
      </c>
      <c r="M131" s="12">
        <f t="shared" si="26"/>
        <v>154.47792999999999</v>
      </c>
      <c r="N131" s="14">
        <f t="shared" ref="N131:N135" si="28">M131*K131</f>
        <v>18691.829529999999</v>
      </c>
      <c r="O131" s="13" t="s">
        <v>48</v>
      </c>
      <c r="P131" s="19" t="s">
        <v>56</v>
      </c>
    </row>
    <row r="132" spans="5:16" ht="34.5" x14ac:dyDescent="0.25">
      <c r="E132" s="2"/>
      <c r="F132" s="3"/>
      <c r="G132" s="4" t="s">
        <v>13</v>
      </c>
      <c r="H132" s="5" t="s">
        <v>245</v>
      </c>
      <c r="I132" s="110" t="s">
        <v>244</v>
      </c>
      <c r="J132" s="8" t="s">
        <v>5</v>
      </c>
      <c r="K132" s="9">
        <v>21</v>
      </c>
      <c r="L132" s="10">
        <v>54.04</v>
      </c>
      <c r="M132" s="12">
        <f t="shared" si="26"/>
        <v>68.54974</v>
      </c>
      <c r="N132" s="14">
        <f t="shared" si="28"/>
        <v>1439.5445400000001</v>
      </c>
      <c r="O132" s="13"/>
      <c r="P132" s="19"/>
    </row>
    <row r="133" spans="5:16" ht="57" x14ac:dyDescent="0.25">
      <c r="E133" s="2" t="s">
        <v>8</v>
      </c>
      <c r="F133" s="3" t="s">
        <v>186</v>
      </c>
      <c r="G133" s="4" t="s">
        <v>13</v>
      </c>
      <c r="H133" s="5" t="s">
        <v>155</v>
      </c>
      <c r="I133" s="110" t="s">
        <v>156</v>
      </c>
      <c r="J133" s="8" t="s">
        <v>148</v>
      </c>
      <c r="K133" s="9">
        <v>107.52</v>
      </c>
      <c r="L133" s="10">
        <v>23.48</v>
      </c>
      <c r="M133" s="12">
        <f t="shared" si="26"/>
        <v>29.784379999999999</v>
      </c>
      <c r="N133" s="14">
        <f t="shared" si="28"/>
        <v>3202.4165375999996</v>
      </c>
      <c r="O133" s="13" t="s">
        <v>48</v>
      </c>
      <c r="P133" s="19" t="s">
        <v>56</v>
      </c>
    </row>
    <row r="134" spans="5:16" ht="23.25" x14ac:dyDescent="0.25">
      <c r="E134" s="2"/>
      <c r="F134" s="3" t="s">
        <v>187</v>
      </c>
      <c r="G134" s="4" t="s">
        <v>82</v>
      </c>
      <c r="H134" s="5" t="s">
        <v>157</v>
      </c>
      <c r="I134" s="110" t="s">
        <v>158</v>
      </c>
      <c r="J134" s="8" t="s">
        <v>28</v>
      </c>
      <c r="K134" s="9">
        <v>3</v>
      </c>
      <c r="L134" s="10">
        <v>172.11</v>
      </c>
      <c r="M134" s="12">
        <f t="shared" si="26"/>
        <v>218.32153500000001</v>
      </c>
      <c r="N134" s="14">
        <f t="shared" si="28"/>
        <v>654.96460500000001</v>
      </c>
      <c r="O134" s="13" t="s">
        <v>48</v>
      </c>
      <c r="P134" s="19" t="s">
        <v>56</v>
      </c>
    </row>
    <row r="135" spans="5:16" ht="34.5" x14ac:dyDescent="0.25">
      <c r="E135" s="2"/>
      <c r="F135" s="3"/>
      <c r="G135" s="4" t="s">
        <v>13</v>
      </c>
      <c r="H135" s="5" t="s">
        <v>257</v>
      </c>
      <c r="I135" s="110" t="s">
        <v>258</v>
      </c>
      <c r="J135" s="8" t="s">
        <v>28</v>
      </c>
      <c r="K135" s="9">
        <v>1</v>
      </c>
      <c r="L135" s="10">
        <v>2026.24</v>
      </c>
      <c r="M135" s="12">
        <f t="shared" si="26"/>
        <v>2570.2854400000001</v>
      </c>
      <c r="N135" s="14">
        <f t="shared" si="28"/>
        <v>2570.2854400000001</v>
      </c>
      <c r="O135" s="13"/>
      <c r="P135" s="19"/>
    </row>
    <row r="136" spans="5:16" x14ac:dyDescent="0.25">
      <c r="E136" s="2" t="s">
        <v>6</v>
      </c>
      <c r="F136" s="54" t="s">
        <v>232</v>
      </c>
      <c r="G136" s="55"/>
      <c r="H136" s="59"/>
      <c r="I136" s="60" t="s">
        <v>138</v>
      </c>
      <c r="J136" s="49" t="s">
        <v>33</v>
      </c>
      <c r="K136" s="50">
        <v>0</v>
      </c>
      <c r="L136" s="57"/>
      <c r="M136" s="52">
        <v>0</v>
      </c>
      <c r="N136" s="58">
        <f>SUM(N137:N143)</f>
        <v>74746.937384200006</v>
      </c>
      <c r="O136" s="13" t="s">
        <v>48</v>
      </c>
      <c r="P136" s="19" t="s">
        <v>56</v>
      </c>
    </row>
    <row r="137" spans="5:16" ht="57" x14ac:dyDescent="0.25">
      <c r="E137" s="2"/>
      <c r="F137" s="3" t="s">
        <v>233</v>
      </c>
      <c r="G137" s="4" t="s">
        <v>13</v>
      </c>
      <c r="H137" s="5" t="s">
        <v>149</v>
      </c>
      <c r="I137" s="110" t="s">
        <v>150</v>
      </c>
      <c r="J137" s="8" t="s">
        <v>148</v>
      </c>
      <c r="K137" s="9">
        <f>219*1.2*0.8</f>
        <v>210.24</v>
      </c>
      <c r="L137" s="10">
        <v>10.199999999999999</v>
      </c>
      <c r="M137" s="12">
        <f>L137*1.2685</f>
        <v>12.938699999999999</v>
      </c>
      <c r="N137" s="14">
        <f>M137*K137</f>
        <v>2720.2322879999997</v>
      </c>
      <c r="O137" s="13" t="s">
        <v>48</v>
      </c>
      <c r="P137" s="19" t="s">
        <v>56</v>
      </c>
    </row>
    <row r="138" spans="5:16" ht="45.75" x14ac:dyDescent="0.25">
      <c r="E138" s="2"/>
      <c r="F138" s="3" t="s">
        <v>234</v>
      </c>
      <c r="G138" s="4" t="s">
        <v>13</v>
      </c>
      <c r="H138" s="5" t="s">
        <v>151</v>
      </c>
      <c r="I138" s="110" t="s">
        <v>152</v>
      </c>
      <c r="J138" s="8" t="s">
        <v>5</v>
      </c>
      <c r="K138" s="9">
        <v>85</v>
      </c>
      <c r="L138" s="10">
        <v>210.8</v>
      </c>
      <c r="M138" s="12">
        <f t="shared" ref="M138:M143" si="29">L138*1.2685</f>
        <v>267.39980000000003</v>
      </c>
      <c r="N138" s="14">
        <f t="shared" ref="N138:N143" si="30">M138*K138</f>
        <v>22728.983000000004</v>
      </c>
      <c r="O138" s="13" t="s">
        <v>48</v>
      </c>
      <c r="P138" s="19" t="s">
        <v>56</v>
      </c>
    </row>
    <row r="139" spans="5:16" ht="45.75" x14ac:dyDescent="0.25">
      <c r="E139" s="2"/>
      <c r="F139" s="3" t="s">
        <v>235</v>
      </c>
      <c r="G139" s="4" t="s">
        <v>13</v>
      </c>
      <c r="H139" s="5" t="s">
        <v>153</v>
      </c>
      <c r="I139" s="110" t="s">
        <v>154</v>
      </c>
      <c r="J139" s="8" t="s">
        <v>5</v>
      </c>
      <c r="K139" s="9">
        <v>145</v>
      </c>
      <c r="L139" s="10">
        <v>121.78</v>
      </c>
      <c r="M139" s="12">
        <f t="shared" si="29"/>
        <v>154.47792999999999</v>
      </c>
      <c r="N139" s="14">
        <f t="shared" si="30"/>
        <v>22399.299849999999</v>
      </c>
      <c r="O139" s="13" t="s">
        <v>48</v>
      </c>
      <c r="P139" s="19" t="s">
        <v>56</v>
      </c>
    </row>
    <row r="140" spans="5:16" ht="34.5" x14ac:dyDescent="0.25">
      <c r="E140" s="2"/>
      <c r="F140" s="3" t="s">
        <v>236</v>
      </c>
      <c r="G140" s="4"/>
      <c r="H140" s="5" t="s">
        <v>245</v>
      </c>
      <c r="I140" s="110" t="s">
        <v>244</v>
      </c>
      <c r="J140" s="8" t="s">
        <v>5</v>
      </c>
      <c r="K140" s="9">
        <v>145</v>
      </c>
      <c r="L140" s="10">
        <v>54.04</v>
      </c>
      <c r="M140" s="12">
        <f t="shared" si="29"/>
        <v>68.54974</v>
      </c>
      <c r="N140" s="14">
        <f t="shared" si="30"/>
        <v>9939.7122999999992</v>
      </c>
      <c r="O140" s="13"/>
      <c r="P140" s="19"/>
    </row>
    <row r="141" spans="5:16" ht="34.5" x14ac:dyDescent="0.25">
      <c r="E141" s="2"/>
      <c r="F141" s="3" t="s">
        <v>237</v>
      </c>
      <c r="G141" s="4"/>
      <c r="H141" s="5" t="s">
        <v>247</v>
      </c>
      <c r="I141" s="110" t="s">
        <v>246</v>
      </c>
      <c r="J141" s="8" t="s">
        <v>5</v>
      </c>
      <c r="K141" s="9">
        <v>85</v>
      </c>
      <c r="L141" s="10">
        <v>74.91</v>
      </c>
      <c r="M141" s="12">
        <f t="shared" si="29"/>
        <v>95.023334999999989</v>
      </c>
      <c r="N141" s="14">
        <f t="shared" si="30"/>
        <v>8076.9834749999991</v>
      </c>
      <c r="O141" s="13"/>
      <c r="P141" s="19"/>
    </row>
    <row r="142" spans="5:16" ht="57" x14ac:dyDescent="0.25">
      <c r="E142" s="2"/>
      <c r="F142" s="3" t="s">
        <v>252</v>
      </c>
      <c r="G142" s="4" t="s">
        <v>13</v>
      </c>
      <c r="H142" s="5" t="s">
        <v>155</v>
      </c>
      <c r="I142" s="110" t="s">
        <v>156</v>
      </c>
      <c r="J142" s="8" t="s">
        <v>148</v>
      </c>
      <c r="K142" s="9">
        <f>219*0.8*1.2</f>
        <v>210.24</v>
      </c>
      <c r="L142" s="10">
        <v>23.48</v>
      </c>
      <c r="M142" s="12">
        <f t="shared" si="29"/>
        <v>29.784379999999999</v>
      </c>
      <c r="N142" s="14">
        <f t="shared" si="30"/>
        <v>6261.8680512000001</v>
      </c>
      <c r="O142" s="13" t="s">
        <v>48</v>
      </c>
      <c r="P142" s="19" t="s">
        <v>56</v>
      </c>
    </row>
    <row r="143" spans="5:16" ht="23.25" x14ac:dyDescent="0.25">
      <c r="E143" s="2"/>
      <c r="F143" s="3" t="s">
        <v>253</v>
      </c>
      <c r="G143" s="4" t="s">
        <v>82</v>
      </c>
      <c r="H143" s="5" t="s">
        <v>157</v>
      </c>
      <c r="I143" s="110" t="s">
        <v>158</v>
      </c>
      <c r="J143" s="8" t="s">
        <v>28</v>
      </c>
      <c r="K143" s="9">
        <v>12</v>
      </c>
      <c r="L143" s="10">
        <v>172.11</v>
      </c>
      <c r="M143" s="12">
        <f t="shared" si="29"/>
        <v>218.32153500000001</v>
      </c>
      <c r="N143" s="14">
        <f t="shared" si="30"/>
        <v>2619.85842</v>
      </c>
      <c r="O143" s="13" t="s">
        <v>48</v>
      </c>
      <c r="P143" s="19" t="s">
        <v>56</v>
      </c>
    </row>
    <row r="144" spans="5:16" x14ac:dyDescent="0.25">
      <c r="E144" s="2" t="s">
        <v>6</v>
      </c>
      <c r="F144" s="54" t="s">
        <v>238</v>
      </c>
      <c r="G144" s="55"/>
      <c r="H144" s="59"/>
      <c r="I144" s="60" t="s">
        <v>139</v>
      </c>
      <c r="J144" s="49" t="s">
        <v>33</v>
      </c>
      <c r="K144" s="50">
        <v>0</v>
      </c>
      <c r="L144" s="57"/>
      <c r="M144" s="52">
        <v>0</v>
      </c>
      <c r="N144" s="58">
        <f>SUM(N145:N151)</f>
        <v>41289.138170799997</v>
      </c>
      <c r="O144" s="13" t="s">
        <v>48</v>
      </c>
      <c r="P144" s="19" t="s">
        <v>56</v>
      </c>
    </row>
    <row r="145" spans="5:16" ht="57" x14ac:dyDescent="0.25">
      <c r="E145" s="2"/>
      <c r="F145" s="3" t="s">
        <v>239</v>
      </c>
      <c r="G145" s="4" t="s">
        <v>13</v>
      </c>
      <c r="H145" s="5" t="s">
        <v>149</v>
      </c>
      <c r="I145" s="110" t="s">
        <v>150</v>
      </c>
      <c r="J145" s="8" t="s">
        <v>148</v>
      </c>
      <c r="K145" s="9">
        <f>131*1.2*0.8</f>
        <v>125.75999999999999</v>
      </c>
      <c r="L145" s="10">
        <v>10.199999999999999</v>
      </c>
      <c r="M145" s="12">
        <f>L145*1.2685</f>
        <v>12.938699999999999</v>
      </c>
      <c r="N145" s="14">
        <f>M145*K145</f>
        <v>1627.1709119999998</v>
      </c>
      <c r="O145" s="13" t="s">
        <v>48</v>
      </c>
      <c r="P145" s="19" t="s">
        <v>56</v>
      </c>
    </row>
    <row r="146" spans="5:16" ht="45.75" x14ac:dyDescent="0.25">
      <c r="E146" s="2"/>
      <c r="F146" s="3" t="s">
        <v>240</v>
      </c>
      <c r="G146" s="4" t="s">
        <v>13</v>
      </c>
      <c r="H146" s="5" t="s">
        <v>151</v>
      </c>
      <c r="I146" s="110" t="s">
        <v>152</v>
      </c>
      <c r="J146" s="8" t="s">
        <v>5</v>
      </c>
      <c r="K146" s="9">
        <v>42</v>
      </c>
      <c r="L146" s="10">
        <v>210.8</v>
      </c>
      <c r="M146" s="12">
        <f t="shared" ref="M146:M151" si="31">L146*1.2685</f>
        <v>267.39980000000003</v>
      </c>
      <c r="N146" s="14">
        <f t="shared" ref="N146:N151" si="32">M146*K146</f>
        <v>11230.7916</v>
      </c>
      <c r="O146" s="13" t="s">
        <v>48</v>
      </c>
      <c r="P146" s="19" t="s">
        <v>56</v>
      </c>
    </row>
    <row r="147" spans="5:16" ht="45.75" x14ac:dyDescent="0.25">
      <c r="E147" s="2"/>
      <c r="F147" s="3" t="s">
        <v>241</v>
      </c>
      <c r="G147" s="4" t="s">
        <v>13</v>
      </c>
      <c r="H147" s="5" t="s">
        <v>153</v>
      </c>
      <c r="I147" s="110" t="s">
        <v>154</v>
      </c>
      <c r="J147" s="8" t="s">
        <v>5</v>
      </c>
      <c r="K147" s="9">
        <v>83</v>
      </c>
      <c r="L147" s="10">
        <v>121.78</v>
      </c>
      <c r="M147" s="12">
        <f t="shared" si="31"/>
        <v>154.47792999999999</v>
      </c>
      <c r="N147" s="14">
        <f t="shared" si="32"/>
        <v>12821.668189999999</v>
      </c>
      <c r="O147" s="13" t="s">
        <v>48</v>
      </c>
      <c r="P147" s="19" t="s">
        <v>56</v>
      </c>
    </row>
    <row r="148" spans="5:16" ht="34.5" x14ac:dyDescent="0.25">
      <c r="E148" s="2"/>
      <c r="F148" s="3" t="s">
        <v>242</v>
      </c>
      <c r="G148" s="4" t="s">
        <v>13</v>
      </c>
      <c r="H148" s="5" t="s">
        <v>245</v>
      </c>
      <c r="I148" s="110" t="s">
        <v>244</v>
      </c>
      <c r="J148" s="8" t="s">
        <v>5</v>
      </c>
      <c r="K148" s="9">
        <v>83</v>
      </c>
      <c r="L148" s="10">
        <v>54.04</v>
      </c>
      <c r="M148" s="12">
        <f t="shared" si="31"/>
        <v>68.54974</v>
      </c>
      <c r="N148" s="14">
        <f t="shared" si="32"/>
        <v>5689.62842</v>
      </c>
      <c r="O148" s="13"/>
      <c r="P148" s="19"/>
    </row>
    <row r="149" spans="5:16" ht="34.5" x14ac:dyDescent="0.25">
      <c r="E149" s="2"/>
      <c r="F149" s="3" t="s">
        <v>243</v>
      </c>
      <c r="G149" s="4" t="s">
        <v>13</v>
      </c>
      <c r="H149" s="5" t="s">
        <v>247</v>
      </c>
      <c r="I149" s="110" t="s">
        <v>246</v>
      </c>
      <c r="J149" s="8" t="s">
        <v>5</v>
      </c>
      <c r="K149" s="9">
        <v>42</v>
      </c>
      <c r="L149" s="10">
        <v>74.91</v>
      </c>
      <c r="M149" s="12">
        <f t="shared" si="31"/>
        <v>95.023334999999989</v>
      </c>
      <c r="N149" s="14">
        <f t="shared" si="32"/>
        <v>3990.9800699999996</v>
      </c>
      <c r="O149" s="13"/>
      <c r="P149" s="19"/>
    </row>
    <row r="150" spans="5:16" ht="57" x14ac:dyDescent="0.25">
      <c r="E150" s="2"/>
      <c r="F150" s="3" t="s">
        <v>250</v>
      </c>
      <c r="G150" s="4" t="s">
        <v>13</v>
      </c>
      <c r="H150" s="5" t="s">
        <v>155</v>
      </c>
      <c r="I150" s="110" t="s">
        <v>156</v>
      </c>
      <c r="J150" s="8" t="s">
        <v>148</v>
      </c>
      <c r="K150" s="9">
        <f>131*1.2*0.8</f>
        <v>125.75999999999999</v>
      </c>
      <c r="L150" s="10">
        <v>23.48</v>
      </c>
      <c r="M150" s="12">
        <f t="shared" si="31"/>
        <v>29.784379999999999</v>
      </c>
      <c r="N150" s="14">
        <f t="shared" si="32"/>
        <v>3745.6836287999995</v>
      </c>
      <c r="O150" s="13" t="s">
        <v>48</v>
      </c>
      <c r="P150" s="19" t="s">
        <v>56</v>
      </c>
    </row>
    <row r="151" spans="5:16" ht="23.25" x14ac:dyDescent="0.25">
      <c r="E151" s="2"/>
      <c r="F151" s="3" t="s">
        <v>251</v>
      </c>
      <c r="G151" s="4" t="s">
        <v>82</v>
      </c>
      <c r="H151" s="5" t="s">
        <v>157</v>
      </c>
      <c r="I151" s="113" t="s">
        <v>158</v>
      </c>
      <c r="J151" s="8" t="s">
        <v>28</v>
      </c>
      <c r="K151" s="9">
        <v>10</v>
      </c>
      <c r="L151" s="10">
        <v>172.11</v>
      </c>
      <c r="M151" s="12">
        <f t="shared" si="31"/>
        <v>218.32153500000001</v>
      </c>
      <c r="N151" s="14">
        <f t="shared" si="32"/>
        <v>2183.2153499999999</v>
      </c>
      <c r="O151" s="13" t="s">
        <v>48</v>
      </c>
      <c r="P151" s="19" t="s">
        <v>56</v>
      </c>
    </row>
    <row r="152" spans="5:16" s="15" customFormat="1" x14ac:dyDescent="0.25"/>
    <row r="153" spans="5:16" s="15" customFormat="1" x14ac:dyDescent="0.25">
      <c r="E153" s="16" t="s">
        <v>140</v>
      </c>
    </row>
    <row r="154" spans="5:16" s="15" customFormat="1" x14ac:dyDescent="0.25">
      <c r="E154" s="16" t="s">
        <v>141</v>
      </c>
    </row>
    <row r="155" spans="5:16" s="15" customFormat="1" x14ac:dyDescent="0.25"/>
    <row r="156" spans="5:16" s="15" customFormat="1" x14ac:dyDescent="0.25">
      <c r="E156" s="16" t="s">
        <v>142</v>
      </c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6" s="15" customFormat="1" x14ac:dyDescent="0.25">
      <c r="E157" s="16" t="s">
        <v>143</v>
      </c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6" s="15" customFormat="1" x14ac:dyDescent="0.25">
      <c r="E158" s="16" t="s">
        <v>144</v>
      </c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6" s="15" customFormat="1" x14ac:dyDescent="0.25">
      <c r="E159" s="16" t="s">
        <v>145</v>
      </c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6" s="15" customFormat="1" x14ac:dyDescent="0.25">
      <c r="E160" s="16" t="s">
        <v>146</v>
      </c>
      <c r="F160" s="16"/>
      <c r="G160" s="16"/>
      <c r="H160" s="16"/>
      <c r="I160" s="16"/>
      <c r="J160" s="16"/>
      <c r="K160" s="16"/>
      <c r="L160" s="16"/>
      <c r="M160" s="16" t="s">
        <v>147</v>
      </c>
      <c r="N160" s="111">
        <f ca="1">TODAY()</f>
        <v>44720</v>
      </c>
    </row>
    <row r="161" spans="16:16" s="15" customFormat="1" x14ac:dyDescent="0.25"/>
    <row r="162" spans="16:16" s="15" customFormat="1" x14ac:dyDescent="0.25"/>
    <row r="163" spans="16:16" s="15" customFormat="1" x14ac:dyDescent="0.25">
      <c r="P163" s="16"/>
    </row>
    <row r="164" spans="16:16" s="15" customFormat="1" x14ac:dyDescent="0.25">
      <c r="P164" s="16"/>
    </row>
    <row r="165" spans="16:16" s="15" customFormat="1" x14ac:dyDescent="0.25">
      <c r="P165" s="16"/>
    </row>
    <row r="166" spans="16:16" s="15" customFormat="1" x14ac:dyDescent="0.25">
      <c r="P166" s="16"/>
    </row>
    <row r="167" spans="16:16" s="15" customFormat="1" x14ac:dyDescent="0.25">
      <c r="P167" s="16"/>
    </row>
    <row r="168" spans="16:16" s="15" customFormat="1" x14ac:dyDescent="0.25"/>
    <row r="169" spans="16:16" s="15" customFormat="1" x14ac:dyDescent="0.25"/>
    <row r="170" spans="16:16" s="15" customFormat="1" x14ac:dyDescent="0.25"/>
    <row r="171" spans="16:16" s="15" customFormat="1" x14ac:dyDescent="0.25"/>
    <row r="172" spans="16:16" s="15" customFormat="1" x14ac:dyDescent="0.25"/>
    <row r="173" spans="16:16" s="15" customFormat="1" x14ac:dyDescent="0.25"/>
    <row r="174" spans="16:16" s="15" customFormat="1" x14ac:dyDescent="0.25"/>
    <row r="175" spans="16:16" s="15" customFormat="1" x14ac:dyDescent="0.25"/>
    <row r="176" spans="16:1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</sheetData>
  <phoneticPr fontId="16" type="noConversion"/>
  <conditionalFormatting sqref="M61:M65 M74:M77 M68:M71 M79:M89 G91:H95 J91:M95 J97:M101 G9:H59 J9:M59">
    <cfRule type="expression" dxfId="214" priority="258" stopIfTrue="1">
      <formula>OR($G9="M",$G9="A")</formula>
    </cfRule>
  </conditionalFormatting>
  <conditionalFormatting sqref="F61:F65 F67:F71 F73:F77 F79:F83 F85:F89 F91:F95 F97:F101 F15:F59">
    <cfRule type="expression" dxfId="213" priority="257" stopIfTrue="1">
      <formula>OR($G15="M",$G15="A")</formula>
    </cfRule>
  </conditionalFormatting>
  <conditionalFormatting sqref="F13">
    <cfRule type="expression" dxfId="212" priority="256" stopIfTrue="1">
      <formula>OR($G13="M",$G13="A")</formula>
    </cfRule>
  </conditionalFormatting>
  <conditionalFormatting sqref="I9:I59">
    <cfRule type="expression" dxfId="211" priority="255" stopIfTrue="1">
      <formula>OR($G9="M",$G9="A")</formula>
    </cfRule>
  </conditionalFormatting>
  <conditionalFormatting sqref="P96 P67:P71 P73:P84 P90 O61:O96 O97:P101 O9:P60">
    <cfRule type="expression" dxfId="210" priority="254" stopIfTrue="1">
      <formula>OR($G9="M",$G9="A")</formula>
    </cfRule>
  </conditionalFormatting>
  <conditionalFormatting sqref="N61:N65 N73:N77 N67:N71 N79:N83 N85:N89 N91:N95 N97:N101 N9:N59">
    <cfRule type="expression" dxfId="209" priority="253" stopIfTrue="1">
      <formula>OR($G9="M",$G9="A")</formula>
    </cfRule>
  </conditionalFormatting>
  <conditionalFormatting sqref="G61:H65 J61:L65">
    <cfRule type="expression" dxfId="208" priority="252" stopIfTrue="1">
      <formula>OR($G61="M",$G61="A")</formula>
    </cfRule>
  </conditionalFormatting>
  <conditionalFormatting sqref="I61:I65">
    <cfRule type="expression" dxfId="207" priority="250" stopIfTrue="1">
      <formula>OR($G61="M",$G61="A")</formula>
    </cfRule>
  </conditionalFormatting>
  <conditionalFormatting sqref="P61:P65">
    <cfRule type="expression" dxfId="206" priority="249" stopIfTrue="1">
      <formula>OR($G61="M",$G61="A")</formula>
    </cfRule>
  </conditionalFormatting>
  <conditionalFormatting sqref="J60:M60 G60:H60">
    <cfRule type="expression" dxfId="205" priority="247" stopIfTrue="1">
      <formula>OR($G60="M",$G60="A")</formula>
    </cfRule>
  </conditionalFormatting>
  <conditionalFormatting sqref="F60">
    <cfRule type="expression" dxfId="204" priority="246" stopIfTrue="1">
      <formula>OR($G60="M",$G60="A")</formula>
    </cfRule>
  </conditionalFormatting>
  <conditionalFormatting sqref="I60">
    <cfRule type="expression" dxfId="203" priority="245" stopIfTrue="1">
      <formula>OR($G60="M",$G60="A")</formula>
    </cfRule>
  </conditionalFormatting>
  <conditionalFormatting sqref="N60">
    <cfRule type="expression" dxfId="202" priority="243" stopIfTrue="1">
      <formula>OR($G60="M",$G60="A")</formula>
    </cfRule>
  </conditionalFormatting>
  <conditionalFormatting sqref="J66:M66 G66:H66">
    <cfRule type="expression" dxfId="201" priority="242" stopIfTrue="1">
      <formula>OR($G66="M",$G66="A")</formula>
    </cfRule>
  </conditionalFormatting>
  <conditionalFormatting sqref="F66">
    <cfRule type="expression" dxfId="200" priority="241" stopIfTrue="1">
      <formula>OR($G66="M",$G66="A")</formula>
    </cfRule>
  </conditionalFormatting>
  <conditionalFormatting sqref="I66">
    <cfRule type="expression" dxfId="199" priority="240" stopIfTrue="1">
      <formula>OR($G66="M",$G66="A")</formula>
    </cfRule>
  </conditionalFormatting>
  <conditionalFormatting sqref="P66">
    <cfRule type="expression" dxfId="198" priority="239" stopIfTrue="1">
      <formula>OR($G66="M",$G66="A")</formula>
    </cfRule>
  </conditionalFormatting>
  <conditionalFormatting sqref="N66">
    <cfRule type="expression" dxfId="197" priority="238" stopIfTrue="1">
      <formula>OR($G66="M",$G66="A")</formula>
    </cfRule>
  </conditionalFormatting>
  <conditionalFormatting sqref="J67:M67 G67:H71 J68:L71">
    <cfRule type="expression" dxfId="196" priority="237" stopIfTrue="1">
      <formula>OR($G67="M",$G67="A")</formula>
    </cfRule>
  </conditionalFormatting>
  <conditionalFormatting sqref="I67:I71">
    <cfRule type="expression" dxfId="195" priority="235" stopIfTrue="1">
      <formula>OR($G67="M",$G67="A")</formula>
    </cfRule>
  </conditionalFormatting>
  <conditionalFormatting sqref="J72:M72 G72:H72">
    <cfRule type="expression" dxfId="194" priority="232" stopIfTrue="1">
      <formula>OR($G72="M",$G72="A")</formula>
    </cfRule>
  </conditionalFormatting>
  <conditionalFormatting sqref="F72">
    <cfRule type="expression" dxfId="193" priority="231" stopIfTrue="1">
      <formula>OR($G72="M",$G72="A")</formula>
    </cfRule>
  </conditionalFormatting>
  <conditionalFormatting sqref="I72">
    <cfRule type="expression" dxfId="192" priority="230" stopIfTrue="1">
      <formula>OR($G72="M",$G72="A")</formula>
    </cfRule>
  </conditionalFormatting>
  <conditionalFormatting sqref="P72">
    <cfRule type="expression" dxfId="191" priority="229" stopIfTrue="1">
      <formula>OR($G72="M",$G72="A")</formula>
    </cfRule>
  </conditionalFormatting>
  <conditionalFormatting sqref="N72">
    <cfRule type="expression" dxfId="190" priority="228" stopIfTrue="1">
      <formula>OR($G72="M",$G72="A")</formula>
    </cfRule>
  </conditionalFormatting>
  <conditionalFormatting sqref="J73:M73 G73:H77 J74:L77">
    <cfRule type="expression" dxfId="189" priority="227" stopIfTrue="1">
      <formula>OR($G73="M",$G73="A")</formula>
    </cfRule>
  </conditionalFormatting>
  <conditionalFormatting sqref="I73:I77">
    <cfRule type="expression" dxfId="188" priority="225" stopIfTrue="1">
      <formula>OR($G73="M",$G73="A")</formula>
    </cfRule>
  </conditionalFormatting>
  <conditionalFormatting sqref="J78:M78 G78:H78">
    <cfRule type="expression" dxfId="187" priority="222" stopIfTrue="1">
      <formula>OR($G78="M",$G78="A")</formula>
    </cfRule>
  </conditionalFormatting>
  <conditionalFormatting sqref="F78">
    <cfRule type="expression" dxfId="186" priority="221" stopIfTrue="1">
      <formula>OR($G78="M",$G78="A")</formula>
    </cfRule>
  </conditionalFormatting>
  <conditionalFormatting sqref="I78">
    <cfRule type="expression" dxfId="185" priority="220" stopIfTrue="1">
      <formula>OR($G78="M",$G78="A")</formula>
    </cfRule>
  </conditionalFormatting>
  <conditionalFormatting sqref="N78">
    <cfRule type="expression" dxfId="184" priority="218" stopIfTrue="1">
      <formula>OR($G78="M",$G78="A")</formula>
    </cfRule>
  </conditionalFormatting>
  <conditionalFormatting sqref="G79:H83 J79:L83">
    <cfRule type="expression" dxfId="183" priority="217" stopIfTrue="1">
      <formula>OR($G79="M",$G79="A")</formula>
    </cfRule>
  </conditionalFormatting>
  <conditionalFormatting sqref="I79:I83">
    <cfRule type="expression" dxfId="182" priority="215" stopIfTrue="1">
      <formula>OR($G79="M",$G79="A")</formula>
    </cfRule>
  </conditionalFormatting>
  <conditionalFormatting sqref="J84:L84 G84:H84">
    <cfRule type="expression" dxfId="181" priority="212" stopIfTrue="1">
      <formula>OR($G84="M",$G84="A")</formula>
    </cfRule>
  </conditionalFormatting>
  <conditionalFormatting sqref="F84">
    <cfRule type="expression" dxfId="180" priority="211" stopIfTrue="1">
      <formula>OR($G84="M",$G84="A")</formula>
    </cfRule>
  </conditionalFormatting>
  <conditionalFormatting sqref="I84">
    <cfRule type="expression" dxfId="179" priority="210" stopIfTrue="1">
      <formula>OR($G84="M",$G84="A")</formula>
    </cfRule>
  </conditionalFormatting>
  <conditionalFormatting sqref="N84">
    <cfRule type="expression" dxfId="178" priority="208" stopIfTrue="1">
      <formula>OR($G84="M",$G84="A")</formula>
    </cfRule>
  </conditionalFormatting>
  <conditionalFormatting sqref="J85:L89 G85:H89">
    <cfRule type="expression" dxfId="177" priority="207" stopIfTrue="1">
      <formula>OR($G85="M",$G85="A")</formula>
    </cfRule>
  </conditionalFormatting>
  <conditionalFormatting sqref="I85:I89">
    <cfRule type="expression" dxfId="176" priority="205" stopIfTrue="1">
      <formula>OR($G85="M",$G85="A")</formula>
    </cfRule>
  </conditionalFormatting>
  <conditionalFormatting sqref="P85:P89">
    <cfRule type="expression" dxfId="175" priority="204" stopIfTrue="1">
      <formula>OR($G85="M",$G85="A")</formula>
    </cfRule>
  </conditionalFormatting>
  <conditionalFormatting sqref="J90:M90 G90:H90">
    <cfRule type="expression" dxfId="174" priority="202" stopIfTrue="1">
      <formula>OR($G90="M",$G90="A")</formula>
    </cfRule>
  </conditionalFormatting>
  <conditionalFormatting sqref="F90">
    <cfRule type="expression" dxfId="173" priority="201" stopIfTrue="1">
      <formula>OR($G90="M",$G90="A")</formula>
    </cfRule>
  </conditionalFormatting>
  <conditionalFormatting sqref="I90">
    <cfRule type="expression" dxfId="172" priority="200" stopIfTrue="1">
      <formula>OR($G90="M",$G90="A")</formula>
    </cfRule>
  </conditionalFormatting>
  <conditionalFormatting sqref="N90">
    <cfRule type="expression" dxfId="171" priority="198" stopIfTrue="1">
      <formula>OR($G90="M",$G90="A")</formula>
    </cfRule>
  </conditionalFormatting>
  <conditionalFormatting sqref="I91:I95">
    <cfRule type="expression" dxfId="170" priority="195" stopIfTrue="1">
      <formula>OR($G91="M",$G91="A")</formula>
    </cfRule>
  </conditionalFormatting>
  <conditionalFormatting sqref="P91:P95">
    <cfRule type="expression" dxfId="169" priority="194" stopIfTrue="1">
      <formula>OR($G91="M",$G91="A")</formula>
    </cfRule>
  </conditionalFormatting>
  <conditionalFormatting sqref="J96:M96 G96:H96">
    <cfRule type="expression" dxfId="168" priority="192" stopIfTrue="1">
      <formula>OR($G96="M",$G96="A")</formula>
    </cfRule>
  </conditionalFormatting>
  <conditionalFormatting sqref="F96">
    <cfRule type="expression" dxfId="167" priority="191" stopIfTrue="1">
      <formula>OR($G96="M",$G96="A")</formula>
    </cfRule>
  </conditionalFormatting>
  <conditionalFormatting sqref="I96">
    <cfRule type="expression" dxfId="166" priority="190" stopIfTrue="1">
      <formula>OR($G96="M",$G96="A")</formula>
    </cfRule>
  </conditionalFormatting>
  <conditionalFormatting sqref="N96">
    <cfRule type="expression" dxfId="165" priority="188" stopIfTrue="1">
      <formula>OR($G96="M",$G96="A")</formula>
    </cfRule>
  </conditionalFormatting>
  <conditionalFormatting sqref="G97:H101">
    <cfRule type="expression" dxfId="164" priority="187" stopIfTrue="1">
      <formula>OR($G97="M",$G97="A")</formula>
    </cfRule>
  </conditionalFormatting>
  <conditionalFormatting sqref="I97:I101">
    <cfRule type="expression" dxfId="163" priority="185" stopIfTrue="1">
      <formula>OR($G97="M",$G97="A")</formula>
    </cfRule>
  </conditionalFormatting>
  <conditionalFormatting sqref="G102:H102 J102:M102">
    <cfRule type="expression" dxfId="162" priority="155" stopIfTrue="1">
      <formula>OR($G102="M",$G102="A")</formula>
    </cfRule>
  </conditionalFormatting>
  <conditionalFormatting sqref="F102">
    <cfRule type="expression" dxfId="161" priority="154" stopIfTrue="1">
      <formula>OR($G102="M",$G102="A")</formula>
    </cfRule>
  </conditionalFormatting>
  <conditionalFormatting sqref="I102">
    <cfRule type="expression" dxfId="160" priority="153" stopIfTrue="1">
      <formula>OR($G102="M",$G102="A")</formula>
    </cfRule>
  </conditionalFormatting>
  <conditionalFormatting sqref="O102:P102">
    <cfRule type="expression" dxfId="159" priority="152" stopIfTrue="1">
      <formula>OR($G102="M",$G102="A")</formula>
    </cfRule>
  </conditionalFormatting>
  <conditionalFormatting sqref="N102">
    <cfRule type="expression" dxfId="158" priority="151" stopIfTrue="1">
      <formula>OR($G102="M",$G102="A")</formula>
    </cfRule>
  </conditionalFormatting>
  <conditionalFormatting sqref="G103:H103 J103:M103">
    <cfRule type="expression" dxfId="157" priority="150" stopIfTrue="1">
      <formula>OR($G103="M",$G103="A")</formula>
    </cfRule>
  </conditionalFormatting>
  <conditionalFormatting sqref="F103">
    <cfRule type="expression" dxfId="156" priority="149" stopIfTrue="1">
      <formula>OR($G103="M",$G103="A")</formula>
    </cfRule>
  </conditionalFormatting>
  <conditionalFormatting sqref="O103:P103">
    <cfRule type="expression" dxfId="155" priority="147" stopIfTrue="1">
      <formula>OR($G103="M",$G103="A")</formula>
    </cfRule>
  </conditionalFormatting>
  <conditionalFormatting sqref="N103">
    <cfRule type="expression" dxfId="154" priority="146" stopIfTrue="1">
      <formula>OR($G103="M",$G103="A")</formula>
    </cfRule>
  </conditionalFormatting>
  <conditionalFormatting sqref="I103">
    <cfRule type="expression" dxfId="153" priority="145" stopIfTrue="1">
      <formula>OR($G103="M",$G103="A")</formula>
    </cfRule>
  </conditionalFormatting>
  <conditionalFormatting sqref="O104:O108">
    <cfRule type="expression" dxfId="152" priority="144" stopIfTrue="1">
      <formula>OR($G104="M",$G104="A")</formula>
    </cfRule>
  </conditionalFormatting>
  <conditionalFormatting sqref="J104:M104 G104:H104 G105:G108 M105:M108">
    <cfRule type="expression" dxfId="151" priority="143" stopIfTrue="1">
      <formula>OR($G104="M",$G104="A")</formula>
    </cfRule>
  </conditionalFormatting>
  <conditionalFormatting sqref="F104:F108">
    <cfRule type="expression" dxfId="150" priority="142" stopIfTrue="1">
      <formula>OR($G104="M",$G104="A")</formula>
    </cfRule>
  </conditionalFormatting>
  <conditionalFormatting sqref="N104:N108">
    <cfRule type="expression" dxfId="149" priority="141" stopIfTrue="1">
      <formula>OR($G104="M",$G104="A")</formula>
    </cfRule>
  </conditionalFormatting>
  <conditionalFormatting sqref="P104:P108">
    <cfRule type="expression" dxfId="148" priority="140" stopIfTrue="1">
      <formula>OR($G104="M",$G104="A")</formula>
    </cfRule>
  </conditionalFormatting>
  <conditionalFormatting sqref="I104">
    <cfRule type="expression" dxfId="147" priority="139" stopIfTrue="1">
      <formula>OR($G104="M",$G104="A")</formula>
    </cfRule>
  </conditionalFormatting>
  <conditionalFormatting sqref="J105:L107 H105:H107">
    <cfRule type="expression" dxfId="146" priority="138" stopIfTrue="1">
      <formula>OR($G105="M",$G105="A")</formula>
    </cfRule>
  </conditionalFormatting>
  <conditionalFormatting sqref="I105:I106">
    <cfRule type="expression" dxfId="145" priority="137" stopIfTrue="1">
      <formula>OR($G105="M",$G105="A")</formula>
    </cfRule>
  </conditionalFormatting>
  <conditionalFormatting sqref="I107">
    <cfRule type="expression" dxfId="144" priority="136" stopIfTrue="1">
      <formula>OR($G107="M",$G107="A")</formula>
    </cfRule>
  </conditionalFormatting>
  <conditionalFormatting sqref="J108:L108 H108">
    <cfRule type="expression" dxfId="143" priority="135" stopIfTrue="1">
      <formula>OR($G108="M",$G108="A")</formula>
    </cfRule>
  </conditionalFormatting>
  <conditionalFormatting sqref="G109:H109 J109:M109">
    <cfRule type="expression" dxfId="142" priority="134" stopIfTrue="1">
      <formula>OR($G109="M",$G109="A")</formula>
    </cfRule>
  </conditionalFormatting>
  <conditionalFormatting sqref="F109">
    <cfRule type="expression" dxfId="141" priority="133" stopIfTrue="1">
      <formula>OR($G109="M",$G109="A")</formula>
    </cfRule>
  </conditionalFormatting>
  <conditionalFormatting sqref="O109:P109">
    <cfRule type="expression" dxfId="140" priority="132" stopIfTrue="1">
      <formula>OR($G109="M",$G109="A")</formula>
    </cfRule>
  </conditionalFormatting>
  <conditionalFormatting sqref="N109">
    <cfRule type="expression" dxfId="139" priority="131" stopIfTrue="1">
      <formula>OR($G109="M",$G109="A")</formula>
    </cfRule>
  </conditionalFormatting>
  <conditionalFormatting sqref="I109">
    <cfRule type="expression" dxfId="138" priority="130" stopIfTrue="1">
      <formula>OR($G109="M",$G109="A")</formula>
    </cfRule>
  </conditionalFormatting>
  <conditionalFormatting sqref="O111:O113">
    <cfRule type="expression" dxfId="137" priority="129" stopIfTrue="1">
      <formula>OR($G111="M",$G111="A")</formula>
    </cfRule>
  </conditionalFormatting>
  <conditionalFormatting sqref="G111:G113 M111:M113">
    <cfRule type="expression" dxfId="136" priority="128" stopIfTrue="1">
      <formula>OR($G111="M",$G111="A")</formula>
    </cfRule>
  </conditionalFormatting>
  <conditionalFormatting sqref="P111:P113">
    <cfRule type="expression" dxfId="135" priority="126" stopIfTrue="1">
      <formula>OR($G111="M",$G111="A")</formula>
    </cfRule>
  </conditionalFormatting>
  <conditionalFormatting sqref="J111:L111 H111">
    <cfRule type="expression" dxfId="134" priority="124" stopIfTrue="1">
      <formula>OR($G111="M",$G111="A")</formula>
    </cfRule>
  </conditionalFormatting>
  <conditionalFormatting sqref="J112:L112 H112">
    <cfRule type="expression" dxfId="133" priority="123" stopIfTrue="1">
      <formula>OR($G112="M",$G112="A")</formula>
    </cfRule>
  </conditionalFormatting>
  <conditionalFormatting sqref="I112">
    <cfRule type="expression" dxfId="132" priority="122" stopIfTrue="1">
      <formula>OR($G112="M",$G112="A")</formula>
    </cfRule>
  </conditionalFormatting>
  <conditionalFormatting sqref="G115:H115 J115:M115">
    <cfRule type="expression" dxfId="131" priority="121" stopIfTrue="1">
      <formula>OR($G115="M",$G115="A")</formula>
    </cfRule>
  </conditionalFormatting>
  <conditionalFormatting sqref="F115">
    <cfRule type="expression" dxfId="130" priority="120" stopIfTrue="1">
      <formula>OR($G115="M",$G115="A")</formula>
    </cfRule>
  </conditionalFormatting>
  <conditionalFormatting sqref="O115:P115">
    <cfRule type="expression" dxfId="129" priority="119" stopIfTrue="1">
      <formula>OR($G115="M",$G115="A")</formula>
    </cfRule>
  </conditionalFormatting>
  <conditionalFormatting sqref="N115">
    <cfRule type="expression" dxfId="128" priority="118" stopIfTrue="1">
      <formula>OR($G115="M",$G115="A")</formula>
    </cfRule>
  </conditionalFormatting>
  <conditionalFormatting sqref="I115">
    <cfRule type="expression" dxfId="127" priority="117" stopIfTrue="1">
      <formula>OR($G115="M",$G115="A")</formula>
    </cfRule>
  </conditionalFormatting>
  <conditionalFormatting sqref="O117:O119">
    <cfRule type="expression" dxfId="126" priority="116" stopIfTrue="1">
      <formula>OR($G117="M",$G117="A")</formula>
    </cfRule>
  </conditionalFormatting>
  <conditionalFormatting sqref="G117:G119 M117:M119">
    <cfRule type="expression" dxfId="125" priority="115" stopIfTrue="1">
      <formula>OR($G117="M",$G117="A")</formula>
    </cfRule>
  </conditionalFormatting>
  <conditionalFormatting sqref="P117:P119">
    <cfRule type="expression" dxfId="124" priority="113" stopIfTrue="1">
      <formula>OR($G117="M",$G117="A")</formula>
    </cfRule>
  </conditionalFormatting>
  <conditionalFormatting sqref="N117:N119">
    <cfRule type="expression" dxfId="123" priority="112" stopIfTrue="1">
      <formula>OR($G117="M",$G117="A")</formula>
    </cfRule>
  </conditionalFormatting>
  <conditionalFormatting sqref="J117:L117 H117">
    <cfRule type="expression" dxfId="122" priority="111" stopIfTrue="1">
      <formula>OR($G117="M",$G117="A")</formula>
    </cfRule>
  </conditionalFormatting>
  <conditionalFormatting sqref="J118:L118 H118">
    <cfRule type="expression" dxfId="121" priority="110" stopIfTrue="1">
      <formula>OR($G118="M",$G118="A")</formula>
    </cfRule>
  </conditionalFormatting>
  <conditionalFormatting sqref="I118">
    <cfRule type="expression" dxfId="120" priority="109" stopIfTrue="1">
      <formula>OR($G118="M",$G118="A")</formula>
    </cfRule>
  </conditionalFormatting>
  <conditionalFormatting sqref="O121">
    <cfRule type="expression" dxfId="119" priority="108" stopIfTrue="1">
      <formula>OR($G121="M",$G121="A")</formula>
    </cfRule>
  </conditionalFormatting>
  <conditionalFormatting sqref="J121:M121 G121:H121">
    <cfRule type="expression" dxfId="118" priority="107" stopIfTrue="1">
      <formula>OR($G121="M",$G121="A")</formula>
    </cfRule>
  </conditionalFormatting>
  <conditionalFormatting sqref="F121">
    <cfRule type="expression" dxfId="117" priority="106" stopIfTrue="1">
      <formula>OR($G121="M",$G121="A")</formula>
    </cfRule>
  </conditionalFormatting>
  <conditionalFormatting sqref="I121">
    <cfRule type="expression" dxfId="116" priority="105" stopIfTrue="1">
      <formula>OR($G121="M",$G121="A")</formula>
    </cfRule>
  </conditionalFormatting>
  <conditionalFormatting sqref="P121">
    <cfRule type="expression" dxfId="115" priority="104" stopIfTrue="1">
      <formula>OR($G121="M",$G121="A")</formula>
    </cfRule>
  </conditionalFormatting>
  <conditionalFormatting sqref="N121">
    <cfRule type="expression" dxfId="114" priority="103" stopIfTrue="1">
      <formula>OR($G121="M",$G121="A")</formula>
    </cfRule>
  </conditionalFormatting>
  <conditionalFormatting sqref="O122:O128">
    <cfRule type="expression" dxfId="113" priority="102" stopIfTrue="1">
      <formula>OR($G122="M",$G122="A")</formula>
    </cfRule>
  </conditionalFormatting>
  <conditionalFormatting sqref="P122:P128">
    <cfRule type="expression" dxfId="112" priority="101" stopIfTrue="1">
      <formula>OR($G122="M",$G122="A")</formula>
    </cfRule>
  </conditionalFormatting>
  <conditionalFormatting sqref="J122:M122 G122:H122 G123:G128 M123:M128">
    <cfRule type="expression" dxfId="111" priority="100" stopIfTrue="1">
      <formula>OR($G122="M",$G122="A")</formula>
    </cfRule>
  </conditionalFormatting>
  <conditionalFormatting sqref="F122:F128">
    <cfRule type="expression" dxfId="110" priority="99" stopIfTrue="1">
      <formula>OR($G122="M",$G122="A")</formula>
    </cfRule>
  </conditionalFormatting>
  <conditionalFormatting sqref="N122:N128">
    <cfRule type="expression" dxfId="109" priority="98" stopIfTrue="1">
      <formula>OR($G122="M",$G122="A")</formula>
    </cfRule>
  </conditionalFormatting>
  <conditionalFormatting sqref="I122">
    <cfRule type="expression" dxfId="108" priority="97" stopIfTrue="1">
      <formula>OR($G122="M",$G122="A")</formula>
    </cfRule>
  </conditionalFormatting>
  <conditionalFormatting sqref="J123:L124 H123:H124 H127 J127:L127">
    <cfRule type="expression" dxfId="107" priority="96" stopIfTrue="1">
      <formula>OR($G123="M",$G123="A")</formula>
    </cfRule>
  </conditionalFormatting>
  <conditionalFormatting sqref="I123">
    <cfRule type="expression" dxfId="106" priority="95" stopIfTrue="1">
      <formula>OR($G123="M",$G123="A")</formula>
    </cfRule>
  </conditionalFormatting>
  <conditionalFormatting sqref="I124">
    <cfRule type="expression" dxfId="105" priority="94" stopIfTrue="1">
      <formula>OR($G124="M",$G124="A")</formula>
    </cfRule>
  </conditionalFormatting>
  <conditionalFormatting sqref="I127">
    <cfRule type="expression" dxfId="104" priority="93" stopIfTrue="1">
      <formula>OR($G127="M",$G127="A")</formula>
    </cfRule>
  </conditionalFormatting>
  <conditionalFormatting sqref="J128:L128 H128">
    <cfRule type="expression" dxfId="103" priority="92" stopIfTrue="1">
      <formula>OR($G128="M",$G128="A")</formula>
    </cfRule>
  </conditionalFormatting>
  <conditionalFormatting sqref="M129">
    <cfRule type="expression" dxfId="102" priority="91" stopIfTrue="1">
      <formula>OR($G129="M",$G129="A")</formula>
    </cfRule>
  </conditionalFormatting>
  <conditionalFormatting sqref="O129">
    <cfRule type="expression" dxfId="101" priority="90" stopIfTrue="1">
      <formula>OR($G129="M",$G129="A")</formula>
    </cfRule>
  </conditionalFormatting>
  <conditionalFormatting sqref="P129">
    <cfRule type="expression" dxfId="100" priority="89" stopIfTrue="1">
      <formula>OR($G129="M",$G129="A")</formula>
    </cfRule>
  </conditionalFormatting>
  <conditionalFormatting sqref="J129:L129 G129:H129">
    <cfRule type="expression" dxfId="99" priority="88" stopIfTrue="1">
      <formula>OR($G129="M",$G129="A")</formula>
    </cfRule>
  </conditionalFormatting>
  <conditionalFormatting sqref="F129">
    <cfRule type="expression" dxfId="98" priority="87" stopIfTrue="1">
      <formula>OR($G129="M",$G129="A")</formula>
    </cfRule>
  </conditionalFormatting>
  <conditionalFormatting sqref="I129">
    <cfRule type="expression" dxfId="97" priority="86" stopIfTrue="1">
      <formula>OR($G129="M",$G129="A")</formula>
    </cfRule>
  </conditionalFormatting>
  <conditionalFormatting sqref="N129">
    <cfRule type="expression" dxfId="96" priority="85" stopIfTrue="1">
      <formula>OR($G129="M",$G129="A")</formula>
    </cfRule>
  </conditionalFormatting>
  <conditionalFormatting sqref="M130:M135">
    <cfRule type="expression" dxfId="95" priority="84" stopIfTrue="1">
      <formula>OR($G130="M",$G130="A")</formula>
    </cfRule>
  </conditionalFormatting>
  <conditionalFormatting sqref="O130:O135">
    <cfRule type="expression" dxfId="94" priority="83" stopIfTrue="1">
      <formula>OR($G130="M",$G130="A")</formula>
    </cfRule>
  </conditionalFormatting>
  <conditionalFormatting sqref="P130:P135">
    <cfRule type="expression" dxfId="93" priority="82" stopIfTrue="1">
      <formula>OR($G130="M",$G130="A")</formula>
    </cfRule>
  </conditionalFormatting>
  <conditionalFormatting sqref="G130:H131 J130:L131 G134:G135 J133:L133 G133:H133 G132">
    <cfRule type="expression" dxfId="92" priority="81" stopIfTrue="1">
      <formula>OR($G130="M",$G130="A")</formula>
    </cfRule>
  </conditionalFormatting>
  <conditionalFormatting sqref="F130:F135">
    <cfRule type="expression" dxfId="91" priority="80" stopIfTrue="1">
      <formula>OR($G130="M",$G130="A")</formula>
    </cfRule>
  </conditionalFormatting>
  <conditionalFormatting sqref="N130:N135">
    <cfRule type="expression" dxfId="90" priority="79" stopIfTrue="1">
      <formula>OR($G130="M",$G130="A")</formula>
    </cfRule>
  </conditionalFormatting>
  <conditionalFormatting sqref="I130">
    <cfRule type="expression" dxfId="89" priority="78" stopIfTrue="1">
      <formula>OR($G130="M",$G130="A")</formula>
    </cfRule>
  </conditionalFormatting>
  <conditionalFormatting sqref="I131">
    <cfRule type="expression" dxfId="88" priority="77" stopIfTrue="1">
      <formula>OR($G131="M",$G131="A")</formula>
    </cfRule>
  </conditionalFormatting>
  <conditionalFormatting sqref="I133">
    <cfRule type="expression" dxfId="87" priority="76" stopIfTrue="1">
      <formula>OR($G133="M",$G133="A")</formula>
    </cfRule>
  </conditionalFormatting>
  <conditionalFormatting sqref="J134:L135 H134:H135">
    <cfRule type="expression" dxfId="86" priority="75" stopIfTrue="1">
      <formula>OR($G134="M",$G134="A")</formula>
    </cfRule>
  </conditionalFormatting>
  <conditionalFormatting sqref="O136">
    <cfRule type="expression" dxfId="85" priority="74" stopIfTrue="1">
      <formula>OR($G136="M",$G136="A")</formula>
    </cfRule>
  </conditionalFormatting>
  <conditionalFormatting sqref="J136:M136 G136:H136">
    <cfRule type="expression" dxfId="84" priority="73" stopIfTrue="1">
      <formula>OR($G136="M",$G136="A")</formula>
    </cfRule>
  </conditionalFormatting>
  <conditionalFormatting sqref="F136">
    <cfRule type="expression" dxfId="83" priority="72" stopIfTrue="1">
      <formula>OR($G136="M",$G136="A")</formula>
    </cfRule>
  </conditionalFormatting>
  <conditionalFormatting sqref="I136">
    <cfRule type="expression" dxfId="82" priority="71" stopIfTrue="1">
      <formula>OR($G136="M",$G136="A")</formula>
    </cfRule>
  </conditionalFormatting>
  <conditionalFormatting sqref="P136">
    <cfRule type="expression" dxfId="81" priority="70" stopIfTrue="1">
      <formula>OR($G136="M",$G136="A")</formula>
    </cfRule>
  </conditionalFormatting>
  <conditionalFormatting sqref="N136">
    <cfRule type="expression" dxfId="80" priority="69" stopIfTrue="1">
      <formula>OR($G136="M",$G136="A")</formula>
    </cfRule>
  </conditionalFormatting>
  <conditionalFormatting sqref="O137:O143">
    <cfRule type="expression" dxfId="79" priority="68" stopIfTrue="1">
      <formula>OR($G137="M",$G137="A")</formula>
    </cfRule>
  </conditionalFormatting>
  <conditionalFormatting sqref="P137:P143">
    <cfRule type="expression" dxfId="78" priority="67" stopIfTrue="1">
      <formula>OR($G137="M",$G137="A")</formula>
    </cfRule>
  </conditionalFormatting>
  <conditionalFormatting sqref="G137:H139 J137:M139 J142:M143 G142:H143 G140:G141 M140:M141">
    <cfRule type="expression" dxfId="77" priority="66" stopIfTrue="1">
      <formula>OR($G137="M",$G137="A")</formula>
    </cfRule>
  </conditionalFormatting>
  <conditionalFormatting sqref="F137:F143">
    <cfRule type="expression" dxfId="76" priority="65" stopIfTrue="1">
      <formula>OR($G137="M",$G137="A")</formula>
    </cfRule>
  </conditionalFormatting>
  <conditionalFormatting sqref="I137">
    <cfRule type="expression" dxfId="75" priority="64" stopIfTrue="1">
      <formula>OR($G137="M",$G137="A")</formula>
    </cfRule>
  </conditionalFormatting>
  <conditionalFormatting sqref="N137:N143">
    <cfRule type="expression" dxfId="74" priority="63" stopIfTrue="1">
      <formula>OR($G137="M",$G137="A")</formula>
    </cfRule>
  </conditionalFormatting>
  <conditionalFormatting sqref="I138">
    <cfRule type="expression" dxfId="73" priority="62" stopIfTrue="1">
      <formula>OR($G138="M",$G138="A")</formula>
    </cfRule>
  </conditionalFormatting>
  <conditionalFormatting sqref="I139">
    <cfRule type="expression" dxfId="72" priority="61" stopIfTrue="1">
      <formula>OR($G139="M",$G139="A")</formula>
    </cfRule>
  </conditionalFormatting>
  <conditionalFormatting sqref="I142">
    <cfRule type="expression" dxfId="71" priority="60" stopIfTrue="1">
      <formula>OR($G142="M",$G142="A")</formula>
    </cfRule>
  </conditionalFormatting>
  <conditionalFormatting sqref="O144:P144">
    <cfRule type="expression" dxfId="70" priority="59" stopIfTrue="1">
      <formula>OR($G144="M",$G144="A")</formula>
    </cfRule>
  </conditionalFormatting>
  <conditionalFormatting sqref="J144:M144 G144:H144">
    <cfRule type="expression" dxfId="69" priority="58" stopIfTrue="1">
      <formula>OR($G144="M",$G144="A")</formula>
    </cfRule>
  </conditionalFormatting>
  <conditionalFormatting sqref="F144">
    <cfRule type="expression" dxfId="68" priority="57" stopIfTrue="1">
      <formula>OR($G144="M",$G144="A")</formula>
    </cfRule>
  </conditionalFormatting>
  <conditionalFormatting sqref="I144">
    <cfRule type="expression" dxfId="67" priority="56" stopIfTrue="1">
      <formula>OR($G144="M",$G144="A")</formula>
    </cfRule>
  </conditionalFormatting>
  <conditionalFormatting sqref="N144">
    <cfRule type="expression" dxfId="66" priority="55" stopIfTrue="1">
      <formula>OR($G144="M",$G144="A")</formula>
    </cfRule>
  </conditionalFormatting>
  <conditionalFormatting sqref="G145:H147 J145:M145 G151 J146:L147 J150:L150 G150:H150 G148:G149 M146:M151">
    <cfRule type="expression" dxfId="65" priority="54" stopIfTrue="1">
      <formula>OR($G145="M",$G145="A")</formula>
    </cfRule>
  </conditionalFormatting>
  <conditionalFormatting sqref="F145:F151">
    <cfRule type="expression" dxfId="64" priority="53" stopIfTrue="1">
      <formula>OR($G145="M",$G145="A")</formula>
    </cfRule>
  </conditionalFormatting>
  <conditionalFormatting sqref="I145:I147 I150">
    <cfRule type="expression" dxfId="63" priority="52" stopIfTrue="1">
      <formula>OR($G145="M",$G145="A")</formula>
    </cfRule>
  </conditionalFormatting>
  <conditionalFormatting sqref="O145:O151">
    <cfRule type="expression" dxfId="62" priority="51" stopIfTrue="1">
      <formula>OR($G145="M",$G145="A")</formula>
    </cfRule>
  </conditionalFormatting>
  <conditionalFormatting sqref="N145:N151">
    <cfRule type="expression" dxfId="61" priority="50" stopIfTrue="1">
      <formula>OR($G145="M",$G145="A")</formula>
    </cfRule>
  </conditionalFormatting>
  <conditionalFormatting sqref="P145:P151">
    <cfRule type="expression" dxfId="60" priority="49" stopIfTrue="1">
      <formula>OR($G145="M",$G145="A")</formula>
    </cfRule>
  </conditionalFormatting>
  <conditionalFormatting sqref="J151:L151 H151">
    <cfRule type="expression" dxfId="59" priority="48" stopIfTrue="1">
      <formula>OR($G151="M",$G151="A")</formula>
    </cfRule>
  </conditionalFormatting>
  <conditionalFormatting sqref="O110">
    <cfRule type="expression" dxfId="58" priority="42" stopIfTrue="1">
      <formula>OR($G110="M",$G110="A")</formula>
    </cfRule>
  </conditionalFormatting>
  <conditionalFormatting sqref="J110:M110 G110:H110">
    <cfRule type="expression" dxfId="57" priority="41" stopIfTrue="1">
      <formula>OR($G110="M",$G110="A")</formula>
    </cfRule>
  </conditionalFormatting>
  <conditionalFormatting sqref="F110:F114">
    <cfRule type="expression" dxfId="56" priority="40" stopIfTrue="1">
      <formula>OR($G110="M",$G110="A")</formula>
    </cfRule>
  </conditionalFormatting>
  <conditionalFormatting sqref="N110:N114">
    <cfRule type="expression" dxfId="55" priority="39" stopIfTrue="1">
      <formula>OR($G110="M",$G110="A")</formula>
    </cfRule>
  </conditionalFormatting>
  <conditionalFormatting sqref="P110">
    <cfRule type="expression" dxfId="54" priority="38" stopIfTrue="1">
      <formula>OR($G110="M",$G110="A")</formula>
    </cfRule>
  </conditionalFormatting>
  <conditionalFormatting sqref="I110">
    <cfRule type="expression" dxfId="53" priority="37" stopIfTrue="1">
      <formula>OR($G110="M",$G110="A")</formula>
    </cfRule>
  </conditionalFormatting>
  <conditionalFormatting sqref="O114">
    <cfRule type="expression" dxfId="52" priority="36" stopIfTrue="1">
      <formula>OR($G114="M",$G114="A")</formula>
    </cfRule>
  </conditionalFormatting>
  <conditionalFormatting sqref="G114 M114">
    <cfRule type="expression" dxfId="51" priority="35" stopIfTrue="1">
      <formula>OR($G114="M",$G114="A")</formula>
    </cfRule>
  </conditionalFormatting>
  <conditionalFormatting sqref="P114">
    <cfRule type="expression" dxfId="50" priority="32" stopIfTrue="1">
      <formula>OR($G114="M",$G114="A")</formula>
    </cfRule>
  </conditionalFormatting>
  <conditionalFormatting sqref="J114:L114 H114">
    <cfRule type="expression" dxfId="49" priority="31" stopIfTrue="1">
      <formula>OR($G114="M",$G114="A")</formula>
    </cfRule>
  </conditionalFormatting>
  <conditionalFormatting sqref="I114">
    <cfRule type="expression" dxfId="48" priority="30" stopIfTrue="1">
      <formula>OR($G114="M",$G114="A")</formula>
    </cfRule>
  </conditionalFormatting>
  <conditionalFormatting sqref="O116">
    <cfRule type="expression" dxfId="47" priority="29" stopIfTrue="1">
      <formula>OR($G116="M",$G116="A")</formula>
    </cfRule>
  </conditionalFormatting>
  <conditionalFormatting sqref="J116:M116 G116:H116">
    <cfRule type="expression" dxfId="46" priority="28" stopIfTrue="1">
      <formula>OR($G116="M",$G116="A")</formula>
    </cfRule>
  </conditionalFormatting>
  <conditionalFormatting sqref="F116:F120">
    <cfRule type="expression" dxfId="45" priority="27" stopIfTrue="1">
      <formula>OR($G116="M",$G116="A")</formula>
    </cfRule>
  </conditionalFormatting>
  <conditionalFormatting sqref="N116">
    <cfRule type="expression" dxfId="44" priority="26" stopIfTrue="1">
      <formula>OR($G116="M",$G116="A")</formula>
    </cfRule>
  </conditionalFormatting>
  <conditionalFormatting sqref="P116">
    <cfRule type="expression" dxfId="43" priority="25" stopIfTrue="1">
      <formula>OR($G116="M",$G116="A")</formula>
    </cfRule>
  </conditionalFormatting>
  <conditionalFormatting sqref="I116">
    <cfRule type="expression" dxfId="42" priority="24" stopIfTrue="1">
      <formula>OR($G116="M",$G116="A")</formula>
    </cfRule>
  </conditionalFormatting>
  <conditionalFormatting sqref="O120">
    <cfRule type="expression" dxfId="41" priority="23" stopIfTrue="1">
      <formula>OR($G120="M",$G120="A")</formula>
    </cfRule>
  </conditionalFormatting>
  <conditionalFormatting sqref="G120 M120">
    <cfRule type="expression" dxfId="40" priority="22" stopIfTrue="1">
      <formula>OR($G120="M",$G120="A")</formula>
    </cfRule>
  </conditionalFormatting>
  <conditionalFormatting sqref="N120">
    <cfRule type="expression" dxfId="39" priority="20" stopIfTrue="1">
      <formula>OR($G120="M",$G120="A")</formula>
    </cfRule>
  </conditionalFormatting>
  <conditionalFormatting sqref="P120">
    <cfRule type="expression" dxfId="38" priority="19" stopIfTrue="1">
      <formula>OR($G120="M",$G120="A")</formula>
    </cfRule>
  </conditionalFormatting>
  <conditionalFormatting sqref="J120:L120 H120">
    <cfRule type="expression" dxfId="37" priority="18" stopIfTrue="1">
      <formula>OR($G120="M",$G120="A")</formula>
    </cfRule>
  </conditionalFormatting>
  <conditionalFormatting sqref="I120">
    <cfRule type="expression" dxfId="36" priority="17" stopIfTrue="1">
      <formula>OR($G120="M",$G120="A")</formula>
    </cfRule>
  </conditionalFormatting>
  <conditionalFormatting sqref="J113:L113 H113">
    <cfRule type="expression" dxfId="35" priority="16" stopIfTrue="1">
      <formula>OR($G113="M",$G113="A")</formula>
    </cfRule>
  </conditionalFormatting>
  <conditionalFormatting sqref="I113">
    <cfRule type="expression" dxfId="34" priority="15" stopIfTrue="1">
      <formula>OR($G113="M",$G113="A")</formula>
    </cfRule>
  </conditionalFormatting>
  <conditionalFormatting sqref="J119:L119 H119">
    <cfRule type="expression" dxfId="33" priority="14" stopIfTrue="1">
      <formula>OR($G119="M",$G119="A")</formula>
    </cfRule>
  </conditionalFormatting>
  <conditionalFormatting sqref="I119">
    <cfRule type="expression" dxfId="32" priority="13" stopIfTrue="1">
      <formula>OR($G119="M",$G119="A")</formula>
    </cfRule>
  </conditionalFormatting>
  <conditionalFormatting sqref="J125:L126 H125:H126">
    <cfRule type="expression" dxfId="31" priority="12" stopIfTrue="1">
      <formula>OR($G125="M",$G125="A")</formula>
    </cfRule>
  </conditionalFormatting>
  <conditionalFormatting sqref="I125:I126">
    <cfRule type="expression" dxfId="30" priority="11" stopIfTrue="1">
      <formula>OR($G125="M",$G125="A")</formula>
    </cfRule>
  </conditionalFormatting>
  <conditionalFormatting sqref="J132:L132 H132">
    <cfRule type="expression" dxfId="29" priority="10" stopIfTrue="1">
      <formula>OR($G132="M",$G132="A")</formula>
    </cfRule>
  </conditionalFormatting>
  <conditionalFormatting sqref="I132">
    <cfRule type="expression" dxfId="28" priority="9" stopIfTrue="1">
      <formula>OR($G132="M",$G132="A")</formula>
    </cfRule>
  </conditionalFormatting>
  <conditionalFormatting sqref="J140:L140 H140">
    <cfRule type="expression" dxfId="27" priority="8" stopIfTrue="1">
      <formula>OR($G140="M",$G140="A")</formula>
    </cfRule>
  </conditionalFormatting>
  <conditionalFormatting sqref="I140">
    <cfRule type="expression" dxfId="26" priority="7" stopIfTrue="1">
      <formula>OR($G140="M",$G140="A")</formula>
    </cfRule>
  </conditionalFormatting>
  <conditionalFormatting sqref="J141:L141 H141">
    <cfRule type="expression" dxfId="25" priority="6" stopIfTrue="1">
      <formula>OR($G141="M",$G141="A")</formula>
    </cfRule>
  </conditionalFormatting>
  <conditionalFormatting sqref="I141">
    <cfRule type="expression" dxfId="24" priority="5" stopIfTrue="1">
      <formula>OR($G141="M",$G141="A")</formula>
    </cfRule>
  </conditionalFormatting>
  <conditionalFormatting sqref="J148:L148 H148">
    <cfRule type="expression" dxfId="23" priority="4" stopIfTrue="1">
      <formula>OR($G148="M",$G148="A")</formula>
    </cfRule>
  </conditionalFormatting>
  <conditionalFormatting sqref="I148">
    <cfRule type="expression" dxfId="22" priority="3" stopIfTrue="1">
      <formula>OR($G148="M",$G148="A")</formula>
    </cfRule>
  </conditionalFormatting>
  <conditionalFormatting sqref="J149:L149 H149">
    <cfRule type="expression" dxfId="21" priority="2" stopIfTrue="1">
      <formula>OR($G149="M",$G149="A")</formula>
    </cfRule>
  </conditionalFormatting>
  <conditionalFormatting sqref="I149">
    <cfRule type="expression" dxfId="20" priority="1" stopIfTrue="1">
      <formula>OR($G149="M",$G149="A")</formula>
    </cfRule>
  </conditionalFormatting>
  <dataValidations count="4">
    <dataValidation type="list" allowBlank="1" showInputMessage="1" showErrorMessage="1" sqref="E15 E102">
      <formula1>"M"</formula1>
    </dataValidation>
    <dataValidation type="list" showInputMessage="1" showErrorMessage="1" sqref="E103:E151 E16:E101">
      <formula1>$AA$16:$AA$18</formula1>
    </dataValidation>
    <dataValidation type="list" allowBlank="1" showInputMessage="1" showErrorMessage="1" sqref="G15:G151">
      <formula1>"SINAPI,SINAPI-I,Composição,Cotação"</formula1>
    </dataValidation>
    <dataValidation type="list" allowBlank="1" showInputMessage="1" showErrorMessage="1" sqref="O15:O151">
      <formula1>"P,D1,D2,,Z"</formula1>
    </dataValidation>
  </dataValidations>
  <pageMargins left="0.11811023622047245" right="0.39370078740157483" top="0.19685039370078741" bottom="0.39370078740157483" header="0.19685039370078741" footer="0.31496062992125984"/>
  <pageSetup paperSize="9" scale="6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5"/>
  <sheetViews>
    <sheetView tabSelected="1" topLeftCell="A14" zoomScale="84" zoomScaleNormal="84" workbookViewId="0">
      <selection activeCell="B15" sqref="B15:C15"/>
    </sheetView>
  </sheetViews>
  <sheetFormatPr defaultRowHeight="15" x14ac:dyDescent="0.25"/>
  <cols>
    <col min="1" max="1" width="9.140625" style="15"/>
    <col min="2" max="2" width="30.42578125" style="15" customWidth="1"/>
    <col min="3" max="3" width="9.140625" style="15"/>
    <col min="4" max="4" width="9.5703125" style="15" bestFit="1" customWidth="1"/>
    <col min="5" max="5" width="9.140625" style="15"/>
    <col min="7" max="7" width="10" bestFit="1" customWidth="1"/>
    <col min="8" max="12" width="9.5703125" bestFit="1" customWidth="1"/>
    <col min="13" max="13" width="10.140625" bestFit="1" customWidth="1"/>
    <col min="14" max="19" width="9.5703125" style="15" bestFit="1" customWidth="1"/>
    <col min="20" max="20" width="9" style="15" bestFit="1" customWidth="1"/>
    <col min="21" max="27" width="9.5703125" style="15" bestFit="1" customWidth="1"/>
    <col min="28" max="28" width="9.140625" style="15"/>
    <col min="29" max="29" width="9.5703125" style="15" bestFit="1" customWidth="1"/>
    <col min="30" max="37" width="9.140625" style="15"/>
  </cols>
  <sheetData>
    <row r="1" spans="1:29" s="15" customFormat="1" x14ac:dyDescent="0.25">
      <c r="A1" s="69"/>
      <c r="B1" s="69"/>
      <c r="C1" s="70" t="s">
        <v>102</v>
      </c>
      <c r="D1" s="69"/>
      <c r="E1" s="69"/>
      <c r="F1" s="69"/>
      <c r="G1" s="69"/>
      <c r="H1" s="69"/>
      <c r="I1" s="69"/>
      <c r="J1" s="69"/>
      <c r="K1" s="69"/>
      <c r="L1" s="69"/>
      <c r="M1" s="71" t="s">
        <v>103</v>
      </c>
    </row>
    <row r="2" spans="1:29" s="15" customFormat="1" x14ac:dyDescent="0.25">
      <c r="A2" s="69"/>
      <c r="B2" s="72"/>
      <c r="C2" s="69"/>
      <c r="D2" s="73"/>
      <c r="E2" s="73"/>
      <c r="F2" s="73"/>
      <c r="G2" s="73"/>
      <c r="H2" s="73"/>
      <c r="I2" s="73"/>
      <c r="J2" s="73"/>
      <c r="K2" s="73"/>
      <c r="L2" s="73"/>
      <c r="M2" s="74" t="s">
        <v>104</v>
      </c>
    </row>
    <row r="3" spans="1:29" s="15" customFormat="1" x14ac:dyDescent="0.25">
      <c r="A3" s="69"/>
      <c r="B3" s="69"/>
      <c r="C3" s="69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29" s="15" customFormat="1" x14ac:dyDescent="0.25">
      <c r="A4" s="75" t="s">
        <v>105</v>
      </c>
      <c r="B4" s="76"/>
      <c r="C4" s="77" t="s">
        <v>106</v>
      </c>
      <c r="D4" s="73"/>
      <c r="E4" s="73"/>
      <c r="F4" s="69"/>
      <c r="G4" s="75" t="s">
        <v>107</v>
      </c>
      <c r="H4" s="69"/>
      <c r="I4" s="78"/>
      <c r="J4" s="75" t="s">
        <v>108</v>
      </c>
      <c r="K4" s="78"/>
      <c r="L4" s="79"/>
      <c r="M4" s="80"/>
    </row>
    <row r="5" spans="1:29" s="15" customFormat="1" x14ac:dyDescent="0.25">
      <c r="A5" s="140">
        <v>0</v>
      </c>
      <c r="B5" s="141"/>
      <c r="C5" s="140" t="s">
        <v>109</v>
      </c>
      <c r="D5" s="142"/>
      <c r="E5" s="142"/>
      <c r="F5" s="143"/>
      <c r="G5" s="144" t="s">
        <v>110</v>
      </c>
      <c r="H5" s="145"/>
      <c r="I5" s="146"/>
      <c r="J5" s="140" t="s">
        <v>111</v>
      </c>
      <c r="K5" s="142"/>
      <c r="L5" s="142"/>
      <c r="M5" s="143"/>
    </row>
    <row r="6" spans="1:29" s="15" customFormat="1" x14ac:dyDescent="0.25">
      <c r="A6" s="69"/>
      <c r="B6" s="69"/>
      <c r="C6" s="69"/>
      <c r="D6" s="73"/>
      <c r="E6" s="73"/>
      <c r="F6" s="73"/>
      <c r="G6" s="73"/>
      <c r="H6" s="69"/>
      <c r="I6" s="73"/>
      <c r="J6" s="73"/>
      <c r="K6" s="73"/>
      <c r="L6" s="73"/>
      <c r="M6" s="73"/>
    </row>
    <row r="7" spans="1:29" s="15" customFormat="1" x14ac:dyDescent="0.25">
      <c r="A7" s="77" t="s">
        <v>112</v>
      </c>
      <c r="B7" s="81"/>
      <c r="C7" s="78" t="s">
        <v>113</v>
      </c>
      <c r="D7" s="78"/>
      <c r="E7" s="81"/>
      <c r="F7" s="82" t="s">
        <v>114</v>
      </c>
      <c r="G7" s="83"/>
      <c r="H7" s="84"/>
      <c r="I7" s="147" t="s">
        <v>33</v>
      </c>
      <c r="J7" s="148"/>
      <c r="K7" s="148"/>
      <c r="L7" s="148"/>
      <c r="M7" s="148"/>
    </row>
    <row r="8" spans="1:29" s="15" customFormat="1" x14ac:dyDescent="0.25">
      <c r="A8" s="144" t="s">
        <v>115</v>
      </c>
      <c r="B8" s="143"/>
      <c r="C8" s="149" t="s">
        <v>116</v>
      </c>
      <c r="D8" s="141"/>
      <c r="E8" s="150"/>
      <c r="F8" s="85" t="s">
        <v>117</v>
      </c>
      <c r="G8" s="86"/>
      <c r="H8" s="87"/>
      <c r="I8" s="147"/>
      <c r="J8" s="148"/>
      <c r="K8" s="148"/>
      <c r="L8" s="148"/>
      <c r="M8" s="148"/>
    </row>
    <row r="9" spans="1:29" s="15" customFormat="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29" x14ac:dyDescent="0.25">
      <c r="A10" s="88" t="s">
        <v>118</v>
      </c>
      <c r="B10" s="89"/>
      <c r="C10" s="90"/>
      <c r="D10" s="91" t="s">
        <v>119</v>
      </c>
      <c r="E10" s="91" t="s">
        <v>120</v>
      </c>
      <c r="F10" s="61" t="s">
        <v>121</v>
      </c>
      <c r="G10" s="62">
        <v>1</v>
      </c>
      <c r="H10" s="63" t="s">
        <v>121</v>
      </c>
      <c r="I10" s="64">
        <v>2</v>
      </c>
      <c r="J10" s="63" t="s">
        <v>121</v>
      </c>
      <c r="K10" s="64">
        <v>3</v>
      </c>
      <c r="L10" s="63" t="s">
        <v>121</v>
      </c>
      <c r="M10" s="64">
        <v>4</v>
      </c>
      <c r="N10" s="114" t="s">
        <v>121</v>
      </c>
      <c r="O10" s="115">
        <v>5</v>
      </c>
      <c r="P10" s="63" t="s">
        <v>121</v>
      </c>
      <c r="Q10" s="64">
        <v>6</v>
      </c>
      <c r="R10" s="63" t="s">
        <v>121</v>
      </c>
      <c r="S10" s="64">
        <v>7</v>
      </c>
      <c r="T10" s="63" t="s">
        <v>121</v>
      </c>
      <c r="U10" s="64">
        <v>8</v>
      </c>
      <c r="V10" s="114" t="s">
        <v>121</v>
      </c>
      <c r="W10" s="115">
        <v>9</v>
      </c>
      <c r="X10" s="63" t="s">
        <v>121</v>
      </c>
      <c r="Y10" s="64">
        <v>10</v>
      </c>
      <c r="Z10" s="63" t="s">
        <v>121</v>
      </c>
      <c r="AA10" s="64">
        <v>11</v>
      </c>
      <c r="AB10" s="63" t="s">
        <v>121</v>
      </c>
      <c r="AC10" s="64">
        <v>12</v>
      </c>
    </row>
    <row r="11" spans="1:29" x14ac:dyDescent="0.25">
      <c r="A11" s="92" t="s">
        <v>122</v>
      </c>
      <c r="B11" s="156" t="s">
        <v>27</v>
      </c>
      <c r="C11" s="157"/>
      <c r="D11" s="93" t="s">
        <v>123</v>
      </c>
      <c r="E11" s="94" t="s">
        <v>124</v>
      </c>
      <c r="F11" s="65" t="s">
        <v>125</v>
      </c>
      <c r="G11" s="65" t="s">
        <v>126</v>
      </c>
      <c r="H11" s="65" t="s">
        <v>125</v>
      </c>
      <c r="I11" s="65" t="s">
        <v>126</v>
      </c>
      <c r="J11" s="65" t="s">
        <v>125</v>
      </c>
      <c r="K11" s="65" t="s">
        <v>126</v>
      </c>
      <c r="L11" s="65" t="s">
        <v>125</v>
      </c>
      <c r="M11" s="65" t="s">
        <v>126</v>
      </c>
      <c r="N11" s="65" t="s">
        <v>125</v>
      </c>
      <c r="O11" s="65" t="s">
        <v>126</v>
      </c>
      <c r="P11" s="65" t="s">
        <v>125</v>
      </c>
      <c r="Q11" s="65" t="s">
        <v>126</v>
      </c>
      <c r="R11" s="65" t="s">
        <v>125</v>
      </c>
      <c r="S11" s="65" t="s">
        <v>126</v>
      </c>
      <c r="T11" s="65" t="s">
        <v>125</v>
      </c>
      <c r="U11" s="65" t="s">
        <v>126</v>
      </c>
      <c r="V11" s="65" t="s">
        <v>125</v>
      </c>
      <c r="W11" s="65" t="s">
        <v>126</v>
      </c>
      <c r="X11" s="65" t="s">
        <v>125</v>
      </c>
      <c r="Y11" s="65" t="s">
        <v>126</v>
      </c>
      <c r="Z11" s="65" t="s">
        <v>125</v>
      </c>
      <c r="AA11" s="65" t="s">
        <v>126</v>
      </c>
      <c r="AB11" s="65" t="s">
        <v>125</v>
      </c>
      <c r="AC11" s="65" t="s">
        <v>126</v>
      </c>
    </row>
    <row r="12" spans="1:29" x14ac:dyDescent="0.25">
      <c r="A12" s="137">
        <v>1</v>
      </c>
      <c r="B12" s="158" t="s">
        <v>32</v>
      </c>
      <c r="C12" s="159"/>
      <c r="D12" s="138" t="s">
        <v>33</v>
      </c>
      <c r="E12" s="134" t="s">
        <v>33</v>
      </c>
      <c r="F12" s="139"/>
      <c r="G12" s="138">
        <v>0</v>
      </c>
      <c r="H12" s="139"/>
      <c r="I12" s="138">
        <v>0</v>
      </c>
      <c r="J12" s="139"/>
      <c r="K12" s="138">
        <v>0</v>
      </c>
      <c r="L12" s="139"/>
      <c r="M12" s="138">
        <v>0</v>
      </c>
      <c r="N12" s="139"/>
      <c r="O12" s="138">
        <v>0</v>
      </c>
      <c r="P12" s="139"/>
      <c r="Q12" s="138">
        <v>0</v>
      </c>
      <c r="R12" s="139"/>
      <c r="S12" s="138">
        <v>0</v>
      </c>
      <c r="T12" s="139"/>
      <c r="U12" s="138">
        <v>0</v>
      </c>
      <c r="V12" s="139"/>
      <c r="W12" s="138">
        <v>0</v>
      </c>
      <c r="X12" s="139"/>
      <c r="Y12" s="138">
        <v>0</v>
      </c>
      <c r="Z12" s="139"/>
      <c r="AA12" s="138">
        <v>0</v>
      </c>
      <c r="AB12" s="139"/>
      <c r="AC12" s="138">
        <v>0</v>
      </c>
    </row>
    <row r="13" spans="1:29" x14ac:dyDescent="0.25">
      <c r="A13" s="96" t="s">
        <v>7</v>
      </c>
      <c r="B13" s="151" t="s">
        <v>34</v>
      </c>
      <c r="C13" s="152"/>
      <c r="D13" s="97">
        <v>53373.450000000004</v>
      </c>
      <c r="E13" s="95">
        <f>D13/$D$37</f>
        <v>5.5078059770268868E-2</v>
      </c>
      <c r="F13" s="67">
        <v>100</v>
      </c>
      <c r="G13" s="66">
        <v>100</v>
      </c>
      <c r="H13" s="67"/>
      <c r="I13" s="66">
        <v>100</v>
      </c>
      <c r="J13" s="67"/>
      <c r="K13" s="66">
        <v>100</v>
      </c>
      <c r="L13" s="67"/>
      <c r="M13" s="66">
        <v>100</v>
      </c>
      <c r="N13" s="67"/>
      <c r="O13" s="66">
        <v>100</v>
      </c>
      <c r="P13" s="67"/>
      <c r="Q13" s="66">
        <v>100</v>
      </c>
      <c r="R13" s="67"/>
      <c r="S13" s="66">
        <v>100</v>
      </c>
      <c r="T13" s="67"/>
      <c r="U13" s="66">
        <v>100</v>
      </c>
      <c r="V13" s="67"/>
      <c r="W13" s="66">
        <v>100</v>
      </c>
      <c r="X13" s="67"/>
      <c r="Y13" s="66">
        <v>100</v>
      </c>
      <c r="Z13" s="67"/>
      <c r="AA13" s="66">
        <v>100</v>
      </c>
      <c r="AB13" s="67"/>
      <c r="AC13" s="66">
        <v>100</v>
      </c>
    </row>
    <row r="14" spans="1:29" x14ac:dyDescent="0.25">
      <c r="A14" s="96" t="s">
        <v>21</v>
      </c>
      <c r="B14" s="151" t="s">
        <v>42</v>
      </c>
      <c r="C14" s="152"/>
      <c r="D14" s="97">
        <f>'PLANILHA ORÇAMENTÁRIA'!N22</f>
        <v>44653.07</v>
      </c>
      <c r="E14" s="95">
        <f t="shared" ref="E14:E35" si="0">D14/$D$37</f>
        <v>4.6079173416483279E-2</v>
      </c>
      <c r="F14" s="67"/>
      <c r="G14" s="66">
        <v>0</v>
      </c>
      <c r="H14" s="67"/>
      <c r="I14" s="66"/>
      <c r="J14" s="67"/>
      <c r="K14" s="66"/>
      <c r="L14" s="67"/>
      <c r="M14" s="66"/>
      <c r="N14" s="67">
        <v>100</v>
      </c>
      <c r="O14" s="66">
        <v>100</v>
      </c>
      <c r="P14" s="67"/>
      <c r="Q14" s="66">
        <v>100</v>
      </c>
      <c r="R14" s="67"/>
      <c r="S14" s="66">
        <v>100</v>
      </c>
      <c r="T14" s="67"/>
      <c r="U14" s="66">
        <v>100</v>
      </c>
      <c r="V14" s="67"/>
      <c r="W14" s="66">
        <v>100</v>
      </c>
      <c r="X14" s="67"/>
      <c r="Y14" s="66">
        <v>100</v>
      </c>
      <c r="Z14" s="67"/>
      <c r="AA14" s="66">
        <v>100</v>
      </c>
      <c r="AB14" s="67"/>
      <c r="AC14" s="66">
        <v>100</v>
      </c>
    </row>
    <row r="15" spans="1:29" x14ac:dyDescent="0.25">
      <c r="A15" s="96" t="s">
        <v>57</v>
      </c>
      <c r="B15" s="151" t="s">
        <v>63</v>
      </c>
      <c r="C15" s="152"/>
      <c r="D15" s="97">
        <v>28513.649999999998</v>
      </c>
      <c r="E15" s="95">
        <f t="shared" si="0"/>
        <v>2.9424302138395149E-2</v>
      </c>
      <c r="F15" s="67"/>
      <c r="G15" s="66">
        <v>0</v>
      </c>
      <c r="H15" s="67">
        <v>100</v>
      </c>
      <c r="I15" s="66">
        <v>100</v>
      </c>
      <c r="J15" s="67"/>
      <c r="K15" s="66">
        <v>100</v>
      </c>
      <c r="L15" s="67"/>
      <c r="M15" s="66">
        <v>100</v>
      </c>
      <c r="N15" s="67"/>
      <c r="O15" s="66">
        <v>100</v>
      </c>
      <c r="P15" s="67"/>
      <c r="Q15" s="66">
        <v>100</v>
      </c>
      <c r="R15" s="67"/>
      <c r="S15" s="66">
        <v>100</v>
      </c>
      <c r="T15" s="67"/>
      <c r="U15" s="66">
        <v>100</v>
      </c>
      <c r="V15" s="67"/>
      <c r="W15" s="66">
        <v>100</v>
      </c>
      <c r="X15" s="67"/>
      <c r="Y15" s="66">
        <v>100</v>
      </c>
      <c r="Z15" s="67"/>
      <c r="AA15" s="66">
        <v>100</v>
      </c>
      <c r="AB15" s="67"/>
      <c r="AC15" s="66">
        <v>100</v>
      </c>
    </row>
    <row r="16" spans="1:29" x14ac:dyDescent="0.25">
      <c r="A16" s="96" t="s">
        <v>64</v>
      </c>
      <c r="B16" s="151" t="s">
        <v>70</v>
      </c>
      <c r="C16" s="152"/>
      <c r="D16" s="97">
        <v>77999.16</v>
      </c>
      <c r="E16" s="95">
        <f t="shared" si="0"/>
        <v>8.0490251173772065E-2</v>
      </c>
      <c r="F16" s="67"/>
      <c r="G16" s="66">
        <v>0</v>
      </c>
      <c r="H16" s="67"/>
      <c r="I16" s="66"/>
      <c r="J16" s="67"/>
      <c r="K16" s="66"/>
      <c r="L16" s="67"/>
      <c r="M16" s="66"/>
      <c r="N16" s="67"/>
      <c r="O16" s="66"/>
      <c r="P16" s="67">
        <v>100</v>
      </c>
      <c r="Q16" s="66">
        <v>100</v>
      </c>
      <c r="R16" s="67"/>
      <c r="S16" s="66">
        <v>100</v>
      </c>
      <c r="T16" s="67"/>
      <c r="U16" s="66">
        <v>100</v>
      </c>
      <c r="V16" s="67"/>
      <c r="W16" s="66">
        <v>100</v>
      </c>
      <c r="X16" s="67"/>
      <c r="Y16" s="66">
        <v>100</v>
      </c>
      <c r="Z16" s="67"/>
      <c r="AA16" s="66">
        <v>100</v>
      </c>
      <c r="AB16" s="67"/>
      <c r="AC16" s="66">
        <v>100</v>
      </c>
    </row>
    <row r="17" spans="1:29" x14ac:dyDescent="0.25">
      <c r="A17" s="96" t="s">
        <v>72</v>
      </c>
      <c r="B17" s="151" t="s">
        <v>78</v>
      </c>
      <c r="C17" s="152"/>
      <c r="D17" s="97">
        <v>26686.730000000003</v>
      </c>
      <c r="E17" s="95">
        <f t="shared" si="0"/>
        <v>2.7539035044821487E-2</v>
      </c>
      <c r="F17" s="67"/>
      <c r="G17" s="66">
        <v>0</v>
      </c>
      <c r="H17" s="67"/>
      <c r="I17" s="66">
        <v>0</v>
      </c>
      <c r="J17" s="67"/>
      <c r="K17" s="66"/>
      <c r="L17" s="67">
        <v>100</v>
      </c>
      <c r="M17" s="66">
        <v>100</v>
      </c>
      <c r="N17" s="67"/>
      <c r="O17" s="66">
        <v>100</v>
      </c>
      <c r="P17" s="67"/>
      <c r="Q17" s="66">
        <v>100</v>
      </c>
      <c r="R17" s="67"/>
      <c r="S17" s="66">
        <v>100</v>
      </c>
      <c r="T17" s="67"/>
      <c r="U17" s="66">
        <v>100</v>
      </c>
      <c r="V17" s="67"/>
      <c r="W17" s="66">
        <v>100</v>
      </c>
      <c r="X17" s="67"/>
      <c r="Y17" s="66">
        <v>100</v>
      </c>
      <c r="Z17" s="67"/>
      <c r="AA17" s="66">
        <v>100</v>
      </c>
      <c r="AB17" s="67"/>
      <c r="AC17" s="66">
        <v>100</v>
      </c>
    </row>
    <row r="18" spans="1:29" x14ac:dyDescent="0.25">
      <c r="A18" s="96" t="s">
        <v>101</v>
      </c>
      <c r="B18" s="151" t="s">
        <v>79</v>
      </c>
      <c r="C18" s="152"/>
      <c r="D18" s="97">
        <v>9226.119999999999</v>
      </c>
      <c r="E18" s="95">
        <f t="shared" si="0"/>
        <v>9.520778379656418E-3</v>
      </c>
      <c r="F18" s="67"/>
      <c r="G18" s="66">
        <v>0</v>
      </c>
      <c r="H18" s="67"/>
      <c r="I18" s="66">
        <v>0</v>
      </c>
      <c r="J18" s="67">
        <v>100</v>
      </c>
      <c r="K18" s="66">
        <v>100</v>
      </c>
      <c r="L18" s="67"/>
      <c r="M18" s="66">
        <v>100</v>
      </c>
      <c r="N18" s="67"/>
      <c r="O18" s="66">
        <v>100</v>
      </c>
      <c r="P18" s="67"/>
      <c r="Q18" s="66">
        <v>100</v>
      </c>
      <c r="R18" s="67"/>
      <c r="S18" s="66">
        <v>100</v>
      </c>
      <c r="T18" s="67"/>
      <c r="U18" s="66">
        <v>100</v>
      </c>
      <c r="V18" s="67"/>
      <c r="W18" s="66">
        <v>100</v>
      </c>
      <c r="X18" s="67"/>
      <c r="Y18" s="66">
        <v>100</v>
      </c>
      <c r="Z18" s="67"/>
      <c r="AA18" s="66">
        <v>100</v>
      </c>
      <c r="AB18" s="67"/>
      <c r="AC18" s="66">
        <v>100</v>
      </c>
    </row>
    <row r="19" spans="1:29" x14ac:dyDescent="0.25">
      <c r="A19" s="96" t="s">
        <v>80</v>
      </c>
      <c r="B19" s="98" t="s">
        <v>92</v>
      </c>
      <c r="C19" s="99"/>
      <c r="D19" s="97">
        <v>3424.94</v>
      </c>
      <c r="E19" s="95">
        <f t="shared" si="0"/>
        <v>3.5343237139361357E-3</v>
      </c>
      <c r="F19" s="67">
        <v>100</v>
      </c>
      <c r="G19" s="66">
        <v>100</v>
      </c>
      <c r="H19" s="67"/>
      <c r="I19" s="66">
        <v>100</v>
      </c>
      <c r="J19" s="67"/>
      <c r="K19" s="66">
        <v>100</v>
      </c>
      <c r="L19" s="67"/>
      <c r="M19" s="66">
        <v>100</v>
      </c>
      <c r="N19" s="67"/>
      <c r="O19" s="66">
        <v>100</v>
      </c>
      <c r="P19" s="67"/>
      <c r="Q19" s="66">
        <v>100</v>
      </c>
      <c r="R19" s="67"/>
      <c r="S19" s="66">
        <v>100</v>
      </c>
      <c r="T19" s="67"/>
      <c r="U19" s="66">
        <v>100</v>
      </c>
      <c r="V19" s="67"/>
      <c r="W19" s="66">
        <v>100</v>
      </c>
      <c r="X19" s="67"/>
      <c r="Y19" s="66">
        <v>100</v>
      </c>
      <c r="Z19" s="67"/>
      <c r="AA19" s="66">
        <v>100</v>
      </c>
      <c r="AB19" s="67"/>
      <c r="AC19" s="66">
        <v>100</v>
      </c>
    </row>
    <row r="20" spans="1:29" ht="23.25" customHeight="1" x14ac:dyDescent="0.25">
      <c r="A20" s="96" t="s">
        <v>86</v>
      </c>
      <c r="B20" s="98" t="s">
        <v>96</v>
      </c>
      <c r="C20" s="99"/>
      <c r="D20" s="97">
        <v>14907.16</v>
      </c>
      <c r="E20" s="95">
        <f t="shared" si="0"/>
        <v>1.5383256084906656E-2</v>
      </c>
      <c r="F20" s="67"/>
      <c r="G20" s="66">
        <v>0</v>
      </c>
      <c r="H20" s="67"/>
      <c r="I20" s="66">
        <v>0</v>
      </c>
      <c r="J20" s="67">
        <v>100</v>
      </c>
      <c r="K20" s="66">
        <v>100</v>
      </c>
      <c r="L20" s="67"/>
      <c r="M20" s="66">
        <v>100</v>
      </c>
      <c r="N20" s="67"/>
      <c r="O20" s="66">
        <v>100</v>
      </c>
      <c r="P20" s="67"/>
      <c r="Q20" s="66">
        <v>100</v>
      </c>
      <c r="R20" s="67"/>
      <c r="S20" s="66">
        <v>100</v>
      </c>
      <c r="T20" s="67"/>
      <c r="U20" s="66">
        <v>100</v>
      </c>
      <c r="V20" s="67"/>
      <c r="W20" s="66">
        <v>100</v>
      </c>
      <c r="X20" s="67"/>
      <c r="Y20" s="66">
        <v>100</v>
      </c>
      <c r="Z20" s="67"/>
      <c r="AA20" s="66">
        <v>100</v>
      </c>
      <c r="AB20" s="67"/>
      <c r="AC20" s="66">
        <v>100</v>
      </c>
    </row>
    <row r="21" spans="1:29" x14ac:dyDescent="0.25">
      <c r="A21" s="96" t="s">
        <v>132</v>
      </c>
      <c r="B21" s="116" t="s">
        <v>133</v>
      </c>
      <c r="C21" s="117"/>
      <c r="D21" s="118">
        <v>67246.039999999994</v>
      </c>
      <c r="E21" s="95">
        <f t="shared" si="0"/>
        <v>6.9393704368630668E-2</v>
      </c>
      <c r="F21" s="121"/>
      <c r="G21" s="66">
        <v>0</v>
      </c>
      <c r="H21" s="121"/>
      <c r="I21" s="66">
        <v>0</v>
      </c>
      <c r="J21" s="121"/>
      <c r="K21" s="66">
        <v>0</v>
      </c>
      <c r="L21" s="121"/>
      <c r="M21" s="66">
        <v>0</v>
      </c>
      <c r="N21" s="121"/>
      <c r="O21" s="66">
        <v>0</v>
      </c>
      <c r="P21" s="121"/>
      <c r="Q21" s="66">
        <v>0</v>
      </c>
      <c r="R21" s="121">
        <v>100</v>
      </c>
      <c r="S21" s="66">
        <v>100</v>
      </c>
      <c r="T21" s="121"/>
      <c r="U21" s="66">
        <v>100</v>
      </c>
      <c r="V21" s="121"/>
      <c r="W21" s="66">
        <v>100</v>
      </c>
      <c r="X21" s="121"/>
      <c r="Y21" s="66">
        <v>100</v>
      </c>
      <c r="Z21" s="121"/>
      <c r="AA21" s="66">
        <v>100</v>
      </c>
      <c r="AB21" s="121"/>
      <c r="AC21" s="66">
        <v>100</v>
      </c>
    </row>
    <row r="22" spans="1:29" x14ac:dyDescent="0.25">
      <c r="A22" s="96" t="s">
        <v>194</v>
      </c>
      <c r="B22" s="116" t="s">
        <v>190</v>
      </c>
      <c r="C22" s="117"/>
      <c r="D22" s="119">
        <v>53948.04</v>
      </c>
      <c r="E22" s="95">
        <f t="shared" si="0"/>
        <v>5.5671000686836905E-2</v>
      </c>
      <c r="F22" s="121"/>
      <c r="G22" s="66">
        <v>0</v>
      </c>
      <c r="H22" s="121"/>
      <c r="I22" s="66">
        <v>0</v>
      </c>
      <c r="J22" s="121"/>
      <c r="K22" s="66">
        <v>0</v>
      </c>
      <c r="L22" s="121"/>
      <c r="M22" s="66">
        <v>0</v>
      </c>
      <c r="N22" s="121"/>
      <c r="O22" s="66">
        <v>0</v>
      </c>
      <c r="P22" s="121"/>
      <c r="Q22" s="66">
        <v>0</v>
      </c>
      <c r="R22" s="121"/>
      <c r="S22" s="66">
        <v>0</v>
      </c>
      <c r="T22" s="121">
        <v>100</v>
      </c>
      <c r="U22" s="66">
        <v>100</v>
      </c>
      <c r="V22" s="121"/>
      <c r="W22" s="66">
        <v>100</v>
      </c>
      <c r="X22" s="121"/>
      <c r="Y22" s="66">
        <v>100</v>
      </c>
      <c r="Z22" s="121"/>
      <c r="AA22" s="66">
        <v>100</v>
      </c>
      <c r="AB22" s="121"/>
      <c r="AC22" s="66">
        <v>100</v>
      </c>
    </row>
    <row r="23" spans="1:29" x14ac:dyDescent="0.25">
      <c r="A23" s="96" t="s">
        <v>195</v>
      </c>
      <c r="B23" s="116" t="s">
        <v>135</v>
      </c>
      <c r="C23" s="117"/>
      <c r="D23" s="119">
        <v>81080.899999999994</v>
      </c>
      <c r="E23" s="95">
        <f t="shared" si="0"/>
        <v>8.3670413968502916E-2</v>
      </c>
      <c r="F23" s="121"/>
      <c r="G23" s="66">
        <v>0</v>
      </c>
      <c r="H23" s="121"/>
      <c r="I23" s="66">
        <v>0</v>
      </c>
      <c r="J23" s="121"/>
      <c r="K23" s="66">
        <v>0</v>
      </c>
      <c r="L23" s="121"/>
      <c r="M23" s="66">
        <v>0</v>
      </c>
      <c r="N23" s="121"/>
      <c r="O23" s="66">
        <v>0</v>
      </c>
      <c r="P23" s="121"/>
      <c r="Q23" s="66">
        <v>0</v>
      </c>
      <c r="R23" s="121"/>
      <c r="S23" s="66">
        <v>0</v>
      </c>
      <c r="T23" s="121"/>
      <c r="U23" s="66">
        <v>0</v>
      </c>
      <c r="V23" s="121">
        <v>100</v>
      </c>
      <c r="W23" s="66">
        <v>100</v>
      </c>
      <c r="X23" s="121"/>
      <c r="Y23" s="66">
        <v>100</v>
      </c>
      <c r="Z23" s="121"/>
      <c r="AA23" s="66">
        <v>100</v>
      </c>
      <c r="AB23" s="121"/>
      <c r="AC23" s="66">
        <v>100</v>
      </c>
    </row>
    <row r="24" spans="1:29" x14ac:dyDescent="0.25">
      <c r="A24" s="96" t="s">
        <v>196</v>
      </c>
      <c r="B24" s="116" t="s">
        <v>191</v>
      </c>
      <c r="C24" s="117"/>
      <c r="D24" s="119">
        <v>68457.63</v>
      </c>
      <c r="E24" s="95">
        <f t="shared" si="0"/>
        <v>7.0643989415541827E-2</v>
      </c>
      <c r="F24" s="121"/>
      <c r="G24" s="66">
        <v>0</v>
      </c>
      <c r="H24" s="121"/>
      <c r="I24" s="66">
        <v>0</v>
      </c>
      <c r="J24" s="121"/>
      <c r="K24" s="66">
        <v>0</v>
      </c>
      <c r="L24" s="121"/>
      <c r="M24" s="66">
        <v>0</v>
      </c>
      <c r="N24" s="121"/>
      <c r="O24" s="66">
        <v>0</v>
      </c>
      <c r="P24" s="121"/>
      <c r="Q24" s="66">
        <v>0</v>
      </c>
      <c r="R24" s="121"/>
      <c r="S24" s="66">
        <v>0</v>
      </c>
      <c r="T24" s="121"/>
      <c r="U24" s="66">
        <v>0</v>
      </c>
      <c r="V24" s="121"/>
      <c r="W24" s="66">
        <v>0</v>
      </c>
      <c r="X24" s="121">
        <v>100</v>
      </c>
      <c r="Y24" s="66">
        <v>100</v>
      </c>
      <c r="Z24" s="121"/>
      <c r="AA24" s="66">
        <v>100</v>
      </c>
      <c r="AB24" s="121"/>
      <c r="AC24" s="66">
        <v>100</v>
      </c>
    </row>
    <row r="25" spans="1:29" x14ac:dyDescent="0.25">
      <c r="A25" s="96" t="s">
        <v>197</v>
      </c>
      <c r="B25" s="116" t="s">
        <v>192</v>
      </c>
      <c r="C25" s="117"/>
      <c r="D25" s="119">
        <v>67719.02</v>
      </c>
      <c r="E25" s="95">
        <f t="shared" si="0"/>
        <v>6.9881790124941001E-2</v>
      </c>
      <c r="F25" s="121"/>
      <c r="G25" s="66">
        <v>0</v>
      </c>
      <c r="H25" s="121"/>
      <c r="I25" s="66">
        <v>0</v>
      </c>
      <c r="J25" s="121"/>
      <c r="K25" s="66">
        <v>0</v>
      </c>
      <c r="L25" s="121"/>
      <c r="M25" s="66">
        <v>0</v>
      </c>
      <c r="N25" s="121"/>
      <c r="O25" s="66">
        <v>0</v>
      </c>
      <c r="P25" s="121"/>
      <c r="Q25" s="66">
        <v>0</v>
      </c>
      <c r="R25" s="121"/>
      <c r="S25" s="66">
        <v>0</v>
      </c>
      <c r="T25" s="121"/>
      <c r="U25" s="66">
        <v>0</v>
      </c>
      <c r="V25" s="121"/>
      <c r="W25" s="66">
        <v>0</v>
      </c>
      <c r="X25" s="121"/>
      <c r="Y25" s="66">
        <v>0</v>
      </c>
      <c r="Z25" s="121">
        <v>100</v>
      </c>
      <c r="AA25" s="66">
        <v>100</v>
      </c>
      <c r="AB25" s="121"/>
      <c r="AC25" s="66">
        <v>100</v>
      </c>
    </row>
    <row r="26" spans="1:29" x14ac:dyDescent="0.25">
      <c r="A26" s="96" t="s">
        <v>198</v>
      </c>
      <c r="B26" s="116" t="s">
        <v>193</v>
      </c>
      <c r="C26" s="117"/>
      <c r="D26" s="119">
        <v>73574.009999999995</v>
      </c>
      <c r="E26" s="95">
        <f t="shared" si="0"/>
        <v>7.5923773342708001E-2</v>
      </c>
      <c r="F26" s="121"/>
      <c r="G26" s="66">
        <v>0</v>
      </c>
      <c r="H26" s="121"/>
      <c r="I26" s="66">
        <v>0</v>
      </c>
      <c r="J26" s="121"/>
      <c r="K26" s="66">
        <v>0</v>
      </c>
      <c r="L26" s="121"/>
      <c r="M26" s="66">
        <v>0</v>
      </c>
      <c r="N26" s="121"/>
      <c r="O26" s="66">
        <v>0</v>
      </c>
      <c r="P26" s="121"/>
      <c r="Q26" s="66">
        <v>0</v>
      </c>
      <c r="R26" s="121"/>
      <c r="S26" s="66">
        <v>0</v>
      </c>
      <c r="T26" s="121"/>
      <c r="U26" s="66">
        <v>0</v>
      </c>
      <c r="V26" s="121"/>
      <c r="W26" s="66">
        <v>0</v>
      </c>
      <c r="X26" s="121"/>
      <c r="Y26" s="66">
        <v>0</v>
      </c>
      <c r="Z26" s="121"/>
      <c r="AA26" s="66">
        <v>0</v>
      </c>
      <c r="AB26" s="121">
        <v>100</v>
      </c>
      <c r="AC26" s="66">
        <v>100</v>
      </c>
    </row>
    <row r="27" spans="1:29" x14ac:dyDescent="0.25">
      <c r="A27" s="96" t="s">
        <v>199</v>
      </c>
      <c r="B27" s="116" t="s">
        <v>139</v>
      </c>
      <c r="C27" s="117"/>
      <c r="D27" s="119">
        <v>77809.070000000007</v>
      </c>
      <c r="E27" s="95">
        <f t="shared" si="0"/>
        <v>8.0294090191453504E-2</v>
      </c>
      <c r="F27" s="121"/>
      <c r="G27" s="66">
        <v>0</v>
      </c>
      <c r="H27" s="121"/>
      <c r="I27" s="66">
        <v>0</v>
      </c>
      <c r="J27" s="121"/>
      <c r="K27" s="66">
        <v>0</v>
      </c>
      <c r="L27" s="121"/>
      <c r="M27" s="66">
        <v>0</v>
      </c>
      <c r="N27" s="121"/>
      <c r="O27" s="66">
        <v>0</v>
      </c>
      <c r="P27" s="121"/>
      <c r="Q27" s="66">
        <v>0</v>
      </c>
      <c r="R27" s="121"/>
      <c r="S27" s="66">
        <v>0</v>
      </c>
      <c r="T27" s="121"/>
      <c r="U27" s="66">
        <v>0</v>
      </c>
      <c r="V27" s="121"/>
      <c r="W27" s="66">
        <v>0</v>
      </c>
      <c r="X27" s="121"/>
      <c r="Y27" s="66">
        <v>0</v>
      </c>
      <c r="Z27" s="121"/>
      <c r="AA27" s="66">
        <v>0</v>
      </c>
      <c r="AB27" s="121">
        <v>100</v>
      </c>
      <c r="AC27" s="66">
        <v>100</v>
      </c>
    </row>
    <row r="28" spans="1:29" x14ac:dyDescent="0.25">
      <c r="A28" s="130">
        <v>2</v>
      </c>
      <c r="B28" s="131" t="s">
        <v>189</v>
      </c>
      <c r="C28" s="132"/>
      <c r="D28" s="133"/>
      <c r="E28" s="134">
        <f t="shared" si="0"/>
        <v>0</v>
      </c>
      <c r="F28" s="135"/>
      <c r="G28" s="136"/>
      <c r="H28" s="135"/>
      <c r="I28" s="136"/>
      <c r="J28" s="135"/>
      <c r="K28" s="136"/>
      <c r="L28" s="135"/>
      <c r="M28" s="136"/>
      <c r="N28" s="135"/>
      <c r="O28" s="136"/>
      <c r="P28" s="135"/>
      <c r="Q28" s="136"/>
      <c r="R28" s="135"/>
      <c r="S28" s="136"/>
      <c r="T28" s="135"/>
      <c r="U28" s="136"/>
      <c r="V28" s="135"/>
      <c r="W28" s="136"/>
      <c r="X28" s="135"/>
      <c r="Y28" s="136"/>
      <c r="Z28" s="135"/>
      <c r="AA28" s="136"/>
      <c r="AB28" s="135"/>
      <c r="AC28" s="136"/>
    </row>
    <row r="29" spans="1:29" x14ac:dyDescent="0.25">
      <c r="A29" s="96" t="s">
        <v>164</v>
      </c>
      <c r="B29" s="112" t="s">
        <v>133</v>
      </c>
      <c r="C29" s="117"/>
      <c r="D29" s="118">
        <v>23326.55</v>
      </c>
      <c r="E29" s="95">
        <f t="shared" si="0"/>
        <v>2.4071539597574545E-2</v>
      </c>
      <c r="F29" s="121"/>
      <c r="G29" s="66">
        <v>0</v>
      </c>
      <c r="H29" s="121"/>
      <c r="I29" s="66">
        <v>0</v>
      </c>
      <c r="J29" s="121"/>
      <c r="K29" s="66">
        <v>0</v>
      </c>
      <c r="L29" s="121">
        <v>100</v>
      </c>
      <c r="M29" s="66">
        <v>100</v>
      </c>
      <c r="N29" s="121"/>
      <c r="O29" s="66">
        <v>0</v>
      </c>
      <c r="P29" s="121"/>
      <c r="Q29" s="66">
        <v>0</v>
      </c>
      <c r="R29" s="121"/>
      <c r="S29" s="66">
        <v>0</v>
      </c>
      <c r="T29" s="121"/>
      <c r="U29" s="66">
        <v>100</v>
      </c>
      <c r="V29" s="121"/>
      <c r="W29" s="66">
        <v>100</v>
      </c>
      <c r="X29" s="121"/>
      <c r="Y29" s="66">
        <v>100</v>
      </c>
      <c r="Z29" s="121"/>
      <c r="AA29" s="66">
        <v>100</v>
      </c>
      <c r="AB29" s="121"/>
      <c r="AC29" s="66">
        <v>100</v>
      </c>
    </row>
    <row r="30" spans="1:29" x14ac:dyDescent="0.25">
      <c r="A30" s="96" t="s">
        <v>167</v>
      </c>
      <c r="B30" s="112" t="s">
        <v>190</v>
      </c>
      <c r="C30" s="117"/>
      <c r="D30" s="119">
        <v>3869.19</v>
      </c>
      <c r="E30" s="95">
        <f t="shared" si="0"/>
        <v>3.9927619084493618E-3</v>
      </c>
      <c r="F30" s="121"/>
      <c r="G30" s="66">
        <v>0</v>
      </c>
      <c r="H30" s="121"/>
      <c r="I30" s="66">
        <v>0</v>
      </c>
      <c r="J30" s="121"/>
      <c r="K30" s="66">
        <v>0</v>
      </c>
      <c r="L30" s="121"/>
      <c r="M30" s="66">
        <v>0</v>
      </c>
      <c r="N30" s="121">
        <v>100</v>
      </c>
      <c r="O30" s="66">
        <v>100</v>
      </c>
      <c r="P30" s="121"/>
      <c r="Q30" s="66">
        <v>0</v>
      </c>
      <c r="R30" s="121"/>
      <c r="S30" s="66">
        <v>0</v>
      </c>
      <c r="T30" s="121"/>
      <c r="U30" s="66">
        <v>100</v>
      </c>
      <c r="V30" s="121"/>
      <c r="W30" s="66">
        <v>100</v>
      </c>
      <c r="X30" s="121"/>
      <c r="Y30" s="66">
        <v>100</v>
      </c>
      <c r="Z30" s="121"/>
      <c r="AA30" s="66">
        <v>100</v>
      </c>
      <c r="AB30" s="121"/>
      <c r="AC30" s="66">
        <v>100</v>
      </c>
    </row>
    <row r="31" spans="1:29" x14ac:dyDescent="0.25">
      <c r="A31" s="96" t="s">
        <v>172</v>
      </c>
      <c r="B31" s="112" t="s">
        <v>135</v>
      </c>
      <c r="C31" s="117"/>
      <c r="D31" s="119">
        <v>3869.19</v>
      </c>
      <c r="E31" s="95">
        <f t="shared" si="0"/>
        <v>3.9927619084493618E-3</v>
      </c>
      <c r="F31" s="121"/>
      <c r="G31" s="66">
        <v>0</v>
      </c>
      <c r="H31" s="121"/>
      <c r="I31" s="66">
        <v>0</v>
      </c>
      <c r="J31" s="121"/>
      <c r="K31" s="66">
        <v>0</v>
      </c>
      <c r="L31" s="121"/>
      <c r="M31" s="66">
        <v>0</v>
      </c>
      <c r="N31" s="121"/>
      <c r="O31" s="66">
        <v>0</v>
      </c>
      <c r="P31" s="121">
        <v>100</v>
      </c>
      <c r="Q31" s="66">
        <v>100</v>
      </c>
      <c r="R31" s="121"/>
      <c r="S31" s="66">
        <v>0</v>
      </c>
      <c r="T31" s="121"/>
      <c r="U31" s="66">
        <v>100</v>
      </c>
      <c r="V31" s="121"/>
      <c r="W31" s="66">
        <v>100</v>
      </c>
      <c r="X31" s="121"/>
      <c r="Y31" s="66">
        <v>100</v>
      </c>
      <c r="Z31" s="121"/>
      <c r="AA31" s="66">
        <v>100</v>
      </c>
      <c r="AB31" s="121"/>
      <c r="AC31" s="66">
        <v>100</v>
      </c>
    </row>
    <row r="32" spans="1:29" x14ac:dyDescent="0.25">
      <c r="A32" s="96" t="s">
        <v>177</v>
      </c>
      <c r="B32" s="112" t="s">
        <v>191</v>
      </c>
      <c r="C32" s="117"/>
      <c r="D32" s="119">
        <v>45380.82</v>
      </c>
      <c r="E32" s="95">
        <f t="shared" si="0"/>
        <v>4.6830165866808542E-2</v>
      </c>
      <c r="F32" s="121"/>
      <c r="G32" s="66">
        <v>0</v>
      </c>
      <c r="H32" s="121"/>
      <c r="I32" s="66">
        <v>0</v>
      </c>
      <c r="J32" s="121"/>
      <c r="K32" s="66">
        <v>0</v>
      </c>
      <c r="L32" s="121"/>
      <c r="M32" s="66">
        <v>0</v>
      </c>
      <c r="N32" s="121"/>
      <c r="O32" s="66">
        <v>0</v>
      </c>
      <c r="P32" s="121"/>
      <c r="Q32" s="66">
        <v>0</v>
      </c>
      <c r="R32" s="121">
        <v>100</v>
      </c>
      <c r="S32" s="66">
        <v>100</v>
      </c>
      <c r="T32" s="121"/>
      <c r="U32" s="66">
        <v>100</v>
      </c>
      <c r="V32" s="121"/>
      <c r="W32" s="66">
        <v>100</v>
      </c>
      <c r="X32" s="121"/>
      <c r="Y32" s="66">
        <v>100</v>
      </c>
      <c r="Z32" s="121"/>
      <c r="AA32" s="66">
        <v>100</v>
      </c>
      <c r="AB32" s="121"/>
      <c r="AC32" s="66">
        <v>100</v>
      </c>
    </row>
    <row r="33" spans="1:29" ht="15.75" customHeight="1" x14ac:dyDescent="0.25">
      <c r="A33" s="96" t="s">
        <v>183</v>
      </c>
      <c r="B33" s="112" t="s">
        <v>192</v>
      </c>
      <c r="C33" s="117"/>
      <c r="D33" s="119">
        <v>27950.21</v>
      </c>
      <c r="E33" s="95">
        <f t="shared" si="0"/>
        <v>2.8842867323951634E-2</v>
      </c>
      <c r="F33" s="121"/>
      <c r="G33" s="66">
        <v>0</v>
      </c>
      <c r="H33" s="121"/>
      <c r="I33" s="66">
        <v>0</v>
      </c>
      <c r="J33" s="121"/>
      <c r="K33" s="66">
        <v>0</v>
      </c>
      <c r="L33" s="121"/>
      <c r="M33" s="66">
        <v>0</v>
      </c>
      <c r="N33" s="121"/>
      <c r="O33" s="66">
        <v>0</v>
      </c>
      <c r="P33" s="121"/>
      <c r="Q33" s="66">
        <v>0</v>
      </c>
      <c r="R33" s="121"/>
      <c r="S33" s="66">
        <v>0</v>
      </c>
      <c r="T33" s="121">
        <v>100</v>
      </c>
      <c r="U33" s="66">
        <v>100</v>
      </c>
      <c r="V33" s="121"/>
      <c r="W33" s="66">
        <v>100</v>
      </c>
      <c r="X33" s="121"/>
      <c r="Y33" s="66">
        <v>100</v>
      </c>
      <c r="Z33" s="121"/>
      <c r="AA33" s="66">
        <v>100</v>
      </c>
      <c r="AB33" s="121"/>
      <c r="AC33" s="66">
        <v>100</v>
      </c>
    </row>
    <row r="34" spans="1:29" x14ac:dyDescent="0.25">
      <c r="A34" s="96" t="s">
        <v>232</v>
      </c>
      <c r="B34" s="129" t="s">
        <v>193</v>
      </c>
      <c r="C34" s="126"/>
      <c r="D34" s="122">
        <v>74746.929999999993</v>
      </c>
      <c r="E34" s="95">
        <f t="shared" si="0"/>
        <v>7.7134153369963945E-2</v>
      </c>
      <c r="F34" s="123"/>
      <c r="G34" s="124">
        <v>0</v>
      </c>
      <c r="H34" s="123"/>
      <c r="I34" s="124">
        <v>0</v>
      </c>
      <c r="J34" s="123"/>
      <c r="K34" s="124">
        <v>0</v>
      </c>
      <c r="L34" s="123"/>
      <c r="M34" s="124">
        <v>0</v>
      </c>
      <c r="N34" s="123"/>
      <c r="O34" s="124">
        <v>0</v>
      </c>
      <c r="P34" s="123"/>
      <c r="Q34" s="124">
        <v>0</v>
      </c>
      <c r="R34" s="123"/>
      <c r="S34" s="124">
        <v>0</v>
      </c>
      <c r="T34" s="123"/>
      <c r="U34" s="124">
        <v>0</v>
      </c>
      <c r="V34" s="123">
        <v>100</v>
      </c>
      <c r="W34" s="124">
        <v>100</v>
      </c>
      <c r="X34" s="123"/>
      <c r="Y34" s="66">
        <v>100</v>
      </c>
      <c r="Z34" s="123"/>
      <c r="AA34" s="66">
        <v>100</v>
      </c>
      <c r="AB34" s="123"/>
      <c r="AC34" s="66">
        <v>100</v>
      </c>
    </row>
    <row r="35" spans="1:29" x14ac:dyDescent="0.25">
      <c r="A35" s="96" t="s">
        <v>238</v>
      </c>
      <c r="B35" s="112" t="s">
        <v>139</v>
      </c>
      <c r="C35" s="117"/>
      <c r="D35" s="97">
        <v>41289.14</v>
      </c>
      <c r="E35" s="95">
        <f t="shared" si="0"/>
        <v>4.2607808203947821E-2</v>
      </c>
      <c r="F35" s="67"/>
      <c r="G35" s="66">
        <v>0</v>
      </c>
      <c r="H35" s="67"/>
      <c r="I35" s="66">
        <v>0</v>
      </c>
      <c r="J35" s="67"/>
      <c r="K35" s="66">
        <v>0</v>
      </c>
      <c r="L35" s="67"/>
      <c r="M35" s="66">
        <v>0</v>
      </c>
      <c r="N35" s="67"/>
      <c r="O35" s="66">
        <v>0</v>
      </c>
      <c r="P35" s="67"/>
      <c r="Q35" s="66">
        <v>0</v>
      </c>
      <c r="R35" s="67"/>
      <c r="S35" s="66">
        <v>0</v>
      </c>
      <c r="T35" s="67"/>
      <c r="U35" s="66">
        <v>0</v>
      </c>
      <c r="V35" s="67"/>
      <c r="W35" s="66">
        <v>0</v>
      </c>
      <c r="X35" s="67">
        <v>100</v>
      </c>
      <c r="Y35" s="66">
        <v>100</v>
      </c>
      <c r="Z35" s="67"/>
      <c r="AA35" s="66">
        <v>100</v>
      </c>
      <c r="AB35" s="67"/>
      <c r="AC35" s="66">
        <v>100</v>
      </c>
    </row>
    <row r="36" spans="1:29" x14ac:dyDescent="0.25">
      <c r="A36" s="93"/>
      <c r="B36" s="127" t="s">
        <v>127</v>
      </c>
      <c r="C36" s="128"/>
      <c r="D36" s="120"/>
      <c r="E36" s="120"/>
      <c r="F36" s="125">
        <f>5.69+0.36</f>
        <v>6.0500000000000007</v>
      </c>
      <c r="G36" s="125">
        <v>6.05</v>
      </c>
      <c r="H36" s="125">
        <f>3.04</f>
        <v>3.04</v>
      </c>
      <c r="I36" s="125">
        <f>G36+H36</f>
        <v>9.09</v>
      </c>
      <c r="J36" s="125">
        <f>0.98+1.53</f>
        <v>2.5099999999999998</v>
      </c>
      <c r="K36" s="125">
        <f>I36+J36</f>
        <v>11.6</v>
      </c>
      <c r="L36" s="125">
        <f>2.84+1.85</f>
        <v>4.6899999999999995</v>
      </c>
      <c r="M36" s="125">
        <f>K36+L36</f>
        <v>16.29</v>
      </c>
      <c r="N36" s="125">
        <f>6.92+0.32</f>
        <v>7.24</v>
      </c>
      <c r="O36" s="125">
        <f>M36+N36</f>
        <v>23.53</v>
      </c>
      <c r="P36" s="125">
        <f>8.31+0.32</f>
        <v>8.6300000000000008</v>
      </c>
      <c r="Q36" s="125">
        <f>O36+P36</f>
        <v>32.160000000000004</v>
      </c>
      <c r="R36" s="125">
        <f>7.16+3.69</f>
        <v>10.85</v>
      </c>
      <c r="S36" s="125">
        <f>Q36+R36</f>
        <v>43.010000000000005</v>
      </c>
      <c r="T36" s="125">
        <f>5.75+2.55</f>
        <v>8.3000000000000007</v>
      </c>
      <c r="U36" s="125">
        <f>S36+T36</f>
        <v>51.31</v>
      </c>
      <c r="V36" s="125">
        <f>8.64+6.04</f>
        <v>14.68</v>
      </c>
      <c r="W36" s="125">
        <f>U36+V36</f>
        <v>65.990000000000009</v>
      </c>
      <c r="X36" s="125">
        <f>7.29+3.37</f>
        <v>10.66</v>
      </c>
      <c r="Y36" s="125">
        <f>W36+X36</f>
        <v>76.650000000000006</v>
      </c>
      <c r="Z36" s="125">
        <v>7.22</v>
      </c>
      <c r="AA36" s="125">
        <f>Y36+Z36</f>
        <v>83.87</v>
      </c>
      <c r="AB36" s="125">
        <f>7.84+8.29</f>
        <v>16.13</v>
      </c>
      <c r="AC36" s="125">
        <f>AA36+AB36</f>
        <v>100</v>
      </c>
    </row>
    <row r="37" spans="1:29" x14ac:dyDescent="0.25">
      <c r="A37" s="100"/>
      <c r="B37" s="101" t="s">
        <v>128</v>
      </c>
      <c r="C37" s="102"/>
      <c r="D37" s="103">
        <f>SUM(D13:D35)</f>
        <v>969051.0199999999</v>
      </c>
      <c r="E37" s="104">
        <f>SUM(E13:E35)</f>
        <v>1</v>
      </c>
      <c r="F37" s="68">
        <f>$D$37*(F36/100)</f>
        <v>58627.586709999996</v>
      </c>
      <c r="G37" s="68">
        <f>$D$37*(G36/100)</f>
        <v>58627.586709999996</v>
      </c>
      <c r="H37" s="68">
        <f>$D$37*(H36/100)</f>
        <v>29459.151007999997</v>
      </c>
      <c r="I37" s="68">
        <f t="shared" ref="I37:AC37" si="1">$D$37*(I36/100)</f>
        <v>88086.737717999989</v>
      </c>
      <c r="J37" s="68">
        <f t="shared" si="1"/>
        <v>24323.180601999997</v>
      </c>
      <c r="K37" s="68">
        <f t="shared" si="1"/>
        <v>112409.91831999998</v>
      </c>
      <c r="L37" s="68">
        <f t="shared" si="1"/>
        <v>45448.492837999991</v>
      </c>
      <c r="M37" s="68">
        <f t="shared" si="1"/>
        <v>157858.41115799997</v>
      </c>
      <c r="N37" s="68">
        <f t="shared" si="1"/>
        <v>70159.293848000001</v>
      </c>
      <c r="O37" s="68">
        <f t="shared" si="1"/>
        <v>228017.70500599997</v>
      </c>
      <c r="P37" s="68">
        <f t="shared" si="1"/>
        <v>83629.103025999997</v>
      </c>
      <c r="Q37" s="68">
        <f t="shared" si="1"/>
        <v>311646.80803200003</v>
      </c>
      <c r="R37" s="68">
        <f t="shared" si="1"/>
        <v>105142.03566999998</v>
      </c>
      <c r="S37" s="68">
        <f t="shared" si="1"/>
        <v>416788.84370199998</v>
      </c>
      <c r="T37" s="68">
        <f t="shared" si="1"/>
        <v>80431.234660000002</v>
      </c>
      <c r="U37" s="68">
        <f t="shared" si="1"/>
        <v>497220.07836199994</v>
      </c>
      <c r="V37" s="68">
        <f t="shared" si="1"/>
        <v>142256.68973599997</v>
      </c>
      <c r="W37" s="68">
        <f t="shared" si="1"/>
        <v>639476.76809799997</v>
      </c>
      <c r="X37" s="68">
        <f t="shared" si="1"/>
        <v>103300.83873199999</v>
      </c>
      <c r="Y37" s="68">
        <f t="shared" si="1"/>
        <v>742777.60682999995</v>
      </c>
      <c r="Z37" s="68">
        <f t="shared" si="1"/>
        <v>69965.483643999993</v>
      </c>
      <c r="AA37" s="68">
        <f t="shared" si="1"/>
        <v>812743.09047399997</v>
      </c>
      <c r="AB37" s="68">
        <f t="shared" si="1"/>
        <v>156307.92952599999</v>
      </c>
      <c r="AC37" s="68">
        <f t="shared" si="1"/>
        <v>969051.0199999999</v>
      </c>
    </row>
    <row r="38" spans="1:29" s="15" customFormat="1" x14ac:dyDescent="0.25">
      <c r="A38" s="105"/>
      <c r="B38" s="78"/>
      <c r="C38" s="78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29" s="15" customFormat="1" x14ac:dyDescent="0.25">
      <c r="A39" s="106" t="s">
        <v>260</v>
      </c>
      <c r="B39" s="106"/>
      <c r="C39" s="106"/>
      <c r="D39" s="69"/>
      <c r="E39" s="69"/>
      <c r="F39" s="107"/>
      <c r="G39" s="107"/>
      <c r="H39" s="107"/>
      <c r="I39" s="69"/>
      <c r="J39" s="69"/>
      <c r="K39" s="69"/>
      <c r="L39" s="69"/>
      <c r="M39" s="69"/>
    </row>
    <row r="40" spans="1:29" s="15" customFormat="1" ht="15" customHeight="1" x14ac:dyDescent="0.25">
      <c r="A40" s="78" t="s">
        <v>129</v>
      </c>
      <c r="B40" s="69"/>
      <c r="C40" s="69"/>
      <c r="D40" s="69"/>
      <c r="E40" s="69"/>
      <c r="F40" s="108" t="s">
        <v>259</v>
      </c>
      <c r="G40" s="108"/>
      <c r="H40" s="108"/>
      <c r="I40" s="109"/>
      <c r="J40" s="153" t="s">
        <v>130</v>
      </c>
      <c r="K40" s="153"/>
      <c r="L40" s="153"/>
      <c r="M40" s="153"/>
    </row>
    <row r="41" spans="1:29" s="15" customFormat="1" x14ac:dyDescent="0.25">
      <c r="A41" s="69"/>
      <c r="B41" s="78"/>
      <c r="C41" s="69"/>
      <c r="D41" s="69"/>
      <c r="E41" s="69"/>
      <c r="F41" s="78" t="s">
        <v>145</v>
      </c>
      <c r="G41" s="78"/>
      <c r="H41" s="78"/>
      <c r="I41" s="69"/>
      <c r="J41" s="154" t="s">
        <v>131</v>
      </c>
      <c r="K41" s="155"/>
      <c r="L41" s="155"/>
      <c r="M41" s="155"/>
    </row>
    <row r="42" spans="1:29" s="15" customFormat="1" x14ac:dyDescent="0.25"/>
    <row r="43" spans="1:29" s="15" customFormat="1" x14ac:dyDescent="0.25"/>
    <row r="44" spans="1:29" s="15" customFormat="1" x14ac:dyDescent="0.25"/>
    <row r="45" spans="1:29" s="15" customFormat="1" x14ac:dyDescent="0.25"/>
    <row r="46" spans="1:29" s="15" customFormat="1" x14ac:dyDescent="0.25"/>
    <row r="47" spans="1:29" s="15" customFormat="1" x14ac:dyDescent="0.25"/>
    <row r="48" spans="1:29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</sheetData>
  <mergeCells count="17">
    <mergeCell ref="B17:C17"/>
    <mergeCell ref="B18:C18"/>
    <mergeCell ref="J40:M40"/>
    <mergeCell ref="J41:M41"/>
    <mergeCell ref="B11:C11"/>
    <mergeCell ref="B12:C12"/>
    <mergeCell ref="B13:C13"/>
    <mergeCell ref="B14:C14"/>
    <mergeCell ref="B15:C15"/>
    <mergeCell ref="B16:C16"/>
    <mergeCell ref="A5:B5"/>
    <mergeCell ref="C5:F5"/>
    <mergeCell ref="G5:I5"/>
    <mergeCell ref="J5:M5"/>
    <mergeCell ref="I7:M8"/>
    <mergeCell ref="A8:B8"/>
    <mergeCell ref="C8:E8"/>
  </mergeCells>
  <phoneticPr fontId="16" type="noConversion"/>
  <conditionalFormatting sqref="F12:F27 H12:H27 J12:J27 L12:L27">
    <cfRule type="expression" dxfId="19" priority="21" stopIfTrue="1">
      <formula>OR($BI12&lt;&gt;"A",E12&gt;99.9999)</formula>
    </cfRule>
    <cfRule type="expression" dxfId="18" priority="22" stopIfTrue="1">
      <formula>AND($BI12="A")</formula>
    </cfRule>
  </conditionalFormatting>
  <conditionalFormatting sqref="N12:N27 P12:P27 R12:R27 T12:T27">
    <cfRule type="expression" dxfId="17" priority="17" stopIfTrue="1">
      <formula>OR($BI12&lt;&gt;"A",M12&gt;99.9999)</formula>
    </cfRule>
    <cfRule type="expression" dxfId="16" priority="18" stopIfTrue="1">
      <formula>AND($BI12="A")</formula>
    </cfRule>
  </conditionalFormatting>
  <conditionalFormatting sqref="V12:V27 X12:X27 Z12:Z27 AB12:AB27">
    <cfRule type="expression" dxfId="15" priority="15" stopIfTrue="1">
      <formula>OR($BI12&lt;&gt;"A",U12&gt;99.9999)</formula>
    </cfRule>
    <cfRule type="expression" dxfId="14" priority="16" stopIfTrue="1">
      <formula>AND($BI12="A")</formula>
    </cfRule>
  </conditionalFormatting>
  <conditionalFormatting sqref="F28 H28 J28 L28">
    <cfRule type="expression" dxfId="13" priority="13" stopIfTrue="1">
      <formula>OR($BI28&lt;&gt;"A",E28&gt;99.9999)</formula>
    </cfRule>
    <cfRule type="expression" dxfId="12" priority="14" stopIfTrue="1">
      <formula>AND($BI28="A")</formula>
    </cfRule>
  </conditionalFormatting>
  <conditionalFormatting sqref="N28 P28 R28 T28">
    <cfRule type="expression" dxfId="11" priority="11" stopIfTrue="1">
      <formula>OR($BI28&lt;&gt;"A",M28&gt;99.9999)</formula>
    </cfRule>
    <cfRule type="expression" dxfId="10" priority="12" stopIfTrue="1">
      <formula>AND($BI28="A")</formula>
    </cfRule>
  </conditionalFormatting>
  <conditionalFormatting sqref="V28 X28 Z28 AB28">
    <cfRule type="expression" dxfId="9" priority="9" stopIfTrue="1">
      <formula>OR($BI28&lt;&gt;"A",U28&gt;99.9999)</formula>
    </cfRule>
    <cfRule type="expression" dxfId="8" priority="10" stopIfTrue="1">
      <formula>AND($BI28="A")</formula>
    </cfRule>
  </conditionalFormatting>
  <conditionalFormatting sqref="D21">
    <cfRule type="expression" dxfId="7" priority="8" stopIfTrue="1">
      <formula>OR($G21="M",$G21="A")</formula>
    </cfRule>
  </conditionalFormatting>
  <conditionalFormatting sqref="F29:F35 H29:H35 J29:J35 L29:L35">
    <cfRule type="expression" dxfId="6" priority="6" stopIfTrue="1">
      <formula>OR($BI29&lt;&gt;"A",E29&gt;99.9999)</formula>
    </cfRule>
    <cfRule type="expression" dxfId="5" priority="7" stopIfTrue="1">
      <formula>AND($BI29="A")</formula>
    </cfRule>
  </conditionalFormatting>
  <conditionalFormatting sqref="N29:N35 P29:P35 R29:R35 T29:T35">
    <cfRule type="expression" dxfId="4" priority="4" stopIfTrue="1">
      <formula>OR($BI29&lt;&gt;"A",M29&gt;99.9999)</formula>
    </cfRule>
    <cfRule type="expression" dxfId="3" priority="5" stopIfTrue="1">
      <formula>AND($BI29="A")</formula>
    </cfRule>
  </conditionalFormatting>
  <conditionalFormatting sqref="V29:V35 X29:X35 Z29:Z35 AB29:AB35">
    <cfRule type="expression" dxfId="2" priority="2" stopIfTrue="1">
      <formula>OR($BI29&lt;&gt;"A",U29&gt;99.9999)</formula>
    </cfRule>
    <cfRule type="expression" dxfId="1" priority="3" stopIfTrue="1">
      <formula>AND($BI29="A")</formula>
    </cfRule>
  </conditionalFormatting>
  <conditionalFormatting sqref="D29">
    <cfRule type="expression" dxfId="0" priority="1" stopIfTrue="1">
      <formula>OR($G29="M",$G29="A")</formula>
    </cfRule>
  </conditionalFormatting>
  <dataValidations count="1">
    <dataValidation type="decimal" operator="lessThanOrEqual" allowBlank="1" showInputMessage="1" showErrorMessage="1" error="Soma das porcentagens maior que 100%" sqref="F12:AC35">
      <formula1>IF($BI12="A",100-$BG12+F12,0)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ORÇAMENTÁRIA</vt:lpstr>
      <vt:lpstr>CRONOGRAMA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2022-06-03T14:18:54Z</cp:lastPrinted>
  <dcterms:created xsi:type="dcterms:W3CDTF">2022-04-27T14:41:19Z</dcterms:created>
  <dcterms:modified xsi:type="dcterms:W3CDTF">2022-06-08T13:15:01Z</dcterms:modified>
</cp:coreProperties>
</file>